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25" yWindow="75" windowWidth="11430" windowHeight="7845" tabRatio="802" firstSheet="1" activeTab="1"/>
  </bookViews>
  <sheets>
    <sheet name="1. Coleta Domiciliar_manual" sheetId="10" r:id="rId1"/>
    <sheet name="1. Coleta Domiciliar_automat." sheetId="2" r:id="rId2"/>
    <sheet name="2.Encargos Sociais" sheetId="8" r:id="rId3"/>
    <sheet name="3.CAGED" sheetId="5" r:id="rId4"/>
    <sheet name="4.BDI" sheetId="4" r:id="rId5"/>
    <sheet name="5. Depreciação" sheetId="6" r:id="rId6"/>
    <sheet name="6.Remuneração de capital" sheetId="7" r:id="rId7"/>
    <sheet name="7. Dimensionamento" sheetId="9" r:id="rId8"/>
    <sheet name="8. Valor total" sheetId="11" r:id="rId9"/>
  </sheets>
  <externalReferences>
    <externalReference r:id="rId10"/>
  </externalReferences>
  <definedNames>
    <definedName name="AbaDeprec">'5. Depreciação'!$A$1</definedName>
    <definedName name="AbaRemun">'6.Remuneração de capital'!$A$1</definedName>
    <definedName name="_xlnm.Print_Area" localSheetId="1">'1. Coleta Domiciliar_automat.'!$A$1:$F$409</definedName>
    <definedName name="_xlnm.Print_Area" localSheetId="0">'1. Coleta Domiciliar_manual'!$A$1:$F$257</definedName>
    <definedName name="_xlnm.Print_Area" localSheetId="2">'2.Encargos Sociais'!$A$1:$C$37</definedName>
  </definedNames>
  <calcPr calcId="145621"/>
</workbook>
</file>

<file path=xl/calcChain.xml><?xml version="1.0" encoding="utf-8"?>
<calcChain xmlns="http://schemas.openxmlformats.org/spreadsheetml/2006/main">
  <c r="E46" i="2" l="1"/>
  <c r="A46" i="2"/>
  <c r="E45" i="2"/>
  <c r="A45" i="2"/>
  <c r="E44" i="2"/>
  <c r="C105" i="2"/>
  <c r="C68" i="10"/>
  <c r="D64" i="10"/>
  <c r="E64" i="10" s="1"/>
  <c r="E62" i="10"/>
  <c r="D78" i="10" s="1"/>
  <c r="C96" i="2"/>
  <c r="D92" i="2"/>
  <c r="E92" i="2" s="1"/>
  <c r="E90" i="2"/>
  <c r="C70" i="2"/>
  <c r="C83" i="2"/>
  <c r="D79" i="2"/>
  <c r="E79" i="2" s="1"/>
  <c r="E77" i="2"/>
  <c r="D106" i="2" s="1"/>
  <c r="E106" i="2" s="1"/>
  <c r="C55" i="10"/>
  <c r="D52" i="10"/>
  <c r="E52" i="10" s="1"/>
  <c r="E51" i="10"/>
  <c r="D77" i="10" s="1"/>
  <c r="D67" i="2"/>
  <c r="E67" i="2" s="1"/>
  <c r="E66" i="2"/>
  <c r="D105" i="2" s="1"/>
  <c r="D81" i="2" l="1"/>
  <c r="E81" i="2" s="1"/>
  <c r="E82" i="2" s="1"/>
  <c r="D66" i="10"/>
  <c r="E66" i="10" s="1"/>
  <c r="E67" i="10" s="1"/>
  <c r="E105" i="2"/>
  <c r="D94" i="2"/>
  <c r="E94" i="2" s="1"/>
  <c r="E95" i="2" s="1"/>
  <c r="D53" i="10"/>
  <c r="E53" i="10" s="1"/>
  <c r="E54" i="10" s="1"/>
  <c r="D68" i="2"/>
  <c r="E68" i="2" s="1"/>
  <c r="E69" i="2" s="1"/>
  <c r="D68" i="10" l="1"/>
  <c r="E68" i="10" s="1"/>
  <c r="E69" i="10" s="1"/>
  <c r="D70" i="10" s="1"/>
  <c r="E70" i="10" s="1"/>
  <c r="D96" i="2"/>
  <c r="E96" i="2" s="1"/>
  <c r="E97" i="2" s="1"/>
  <c r="D98" i="2" s="1"/>
  <c r="E98" i="2" s="1"/>
  <c r="D83" i="2"/>
  <c r="E83" i="2" s="1"/>
  <c r="E84" i="2" s="1"/>
  <c r="D85" i="2" s="1"/>
  <c r="E85" i="2" s="1"/>
  <c r="F86" i="2" s="1"/>
  <c r="E7" i="2" s="1"/>
  <c r="D55" i="10"/>
  <c r="E55" i="10" s="1"/>
  <c r="E56" i="10" s="1"/>
  <c r="D57" i="10" s="1"/>
  <c r="E57" i="10" s="1"/>
  <c r="D70" i="2"/>
  <c r="E70" i="2" s="1"/>
  <c r="E71" i="2" s="1"/>
  <c r="D72" i="2" s="1"/>
  <c r="E72" i="2" s="1"/>
  <c r="F73" i="2" s="1"/>
  <c r="E6" i="2" l="1"/>
  <c r="C6" i="11" l="1"/>
  <c r="C34" i="9" l="1"/>
  <c r="C26" i="9"/>
  <c r="C27" i="9" s="1"/>
  <c r="C16" i="9"/>
  <c r="C9" i="9"/>
  <c r="C10" i="9" s="1"/>
  <c r="D251" i="10" s="1"/>
  <c r="C5" i="11" s="1"/>
  <c r="C28" i="9" l="1"/>
  <c r="C30" i="9"/>
  <c r="C35" i="9" s="1"/>
  <c r="C37" i="9" s="1"/>
  <c r="C12" i="9"/>
  <c r="C17" i="9" s="1"/>
  <c r="C19" i="9" s="1"/>
  <c r="D183" i="10" l="1"/>
  <c r="C319" i="2"/>
  <c r="D225" i="2" l="1"/>
  <c r="C332" i="2" l="1"/>
  <c r="C333" i="2"/>
  <c r="C148" i="10" l="1"/>
  <c r="C143" i="10"/>
  <c r="C264" i="2"/>
  <c r="C259" i="2"/>
  <c r="C190" i="2"/>
  <c r="C185" i="2"/>
  <c r="A32" i="2"/>
  <c r="A31" i="2"/>
  <c r="A30" i="2"/>
  <c r="A29" i="2"/>
  <c r="A36" i="2"/>
  <c r="A35" i="2"/>
  <c r="C382" i="2"/>
  <c r="E382" i="2" s="1"/>
  <c r="D383" i="2" s="1"/>
  <c r="E383" i="2" s="1"/>
  <c r="C374" i="2"/>
  <c r="C384" i="2" l="1"/>
  <c r="E384" i="2" s="1"/>
  <c r="D385" i="2" s="1"/>
  <c r="E385" i="2" s="1"/>
  <c r="F386" i="2" s="1"/>
  <c r="E36" i="2" l="1"/>
  <c r="C351" i="2" l="1"/>
  <c r="A24" i="2"/>
  <c r="E51" i="2"/>
  <c r="E55" i="2"/>
  <c r="E56" i="2" s="1"/>
  <c r="A55" i="2"/>
  <c r="A51" i="2"/>
  <c r="E50" i="2"/>
  <c r="A50" i="2"/>
  <c r="B221" i="2"/>
  <c r="B179" i="10"/>
  <c r="C346" i="2"/>
  <c r="D340" i="2"/>
  <c r="E340" i="2" s="1"/>
  <c r="E329" i="2"/>
  <c r="D332" i="2" s="1"/>
  <c r="D153" i="2"/>
  <c r="E153" i="2" s="1"/>
  <c r="D154" i="2"/>
  <c r="D155" i="2"/>
  <c r="D168" i="2"/>
  <c r="D167" i="2"/>
  <c r="D166" i="2"/>
  <c r="E166" i="2" s="1"/>
  <c r="D165" i="2"/>
  <c r="E165" i="2" s="1"/>
  <c r="D164" i="2"/>
  <c r="E164" i="2" s="1"/>
  <c r="D163" i="2"/>
  <c r="E163" i="2" s="1"/>
  <c r="D162" i="2"/>
  <c r="E162" i="2" s="1"/>
  <c r="E169" i="2"/>
  <c r="E168" i="2"/>
  <c r="E167" i="2"/>
  <c r="D156" i="2"/>
  <c r="A28" i="2"/>
  <c r="A27" i="2"/>
  <c r="A26" i="2"/>
  <c r="A25" i="2"/>
  <c r="A23" i="2"/>
  <c r="A22" i="2"/>
  <c r="E52" i="2" l="1"/>
  <c r="E351" i="2"/>
  <c r="F352" i="2" s="1"/>
  <c r="E32" i="2" s="1"/>
  <c r="C342" i="2"/>
  <c r="E332" i="2"/>
  <c r="D333" i="2" s="1"/>
  <c r="E333" i="2" s="1"/>
  <c r="E334" i="2" s="1"/>
  <c r="D170" i="2"/>
  <c r="E170" i="2" s="1"/>
  <c r="F171" i="2" s="1"/>
  <c r="A11" i="2"/>
  <c r="A16" i="10"/>
  <c r="A8" i="2"/>
  <c r="E118" i="10"/>
  <c r="E129" i="10"/>
  <c r="E97" i="10"/>
  <c r="D127" i="10"/>
  <c r="C343" i="2" l="1"/>
  <c r="D344" i="2" s="1"/>
  <c r="E344" i="2" s="1"/>
  <c r="E345" i="2" s="1"/>
  <c r="D346" i="2" s="1"/>
  <c r="E346" i="2" s="1"/>
  <c r="F347" i="2" s="1"/>
  <c r="D335" i="2"/>
  <c r="E335" i="2" s="1"/>
  <c r="F336" i="2" s="1"/>
  <c r="E30" i="2" s="1"/>
  <c r="E118" i="2" l="1"/>
  <c r="C321" i="2" l="1"/>
  <c r="E319" i="2"/>
  <c r="E317" i="2"/>
  <c r="D306" i="2"/>
  <c r="D304" i="2"/>
  <c r="D302" i="2"/>
  <c r="D300" i="2"/>
  <c r="D298" i="2"/>
  <c r="C298" i="2"/>
  <c r="C306" i="2" s="1"/>
  <c r="C289" i="2"/>
  <c r="E289" i="2" s="1"/>
  <c r="C288" i="2"/>
  <c r="E288" i="2" s="1"/>
  <c r="C287" i="2"/>
  <c r="C282" i="2"/>
  <c r="C277" i="2"/>
  <c r="D276" i="2"/>
  <c r="D271" i="2"/>
  <c r="E271" i="2" s="1"/>
  <c r="C265" i="2"/>
  <c r="C261" i="2"/>
  <c r="E261" i="2" s="1"/>
  <c r="C260" i="2"/>
  <c r="E256" i="2"/>
  <c r="E360" i="2"/>
  <c r="E361" i="2"/>
  <c r="E362" i="2"/>
  <c r="E363" i="2"/>
  <c r="E364" i="2"/>
  <c r="E374" i="2"/>
  <c r="D375" i="2" s="1"/>
  <c r="E375" i="2" s="1"/>
  <c r="C376" i="2"/>
  <c r="E376" i="2" s="1"/>
  <c r="D377" i="2" s="1"/>
  <c r="E377" i="2" s="1"/>
  <c r="C78" i="10"/>
  <c r="E78" i="10" s="1"/>
  <c r="C77" i="10"/>
  <c r="E77" i="10" s="1"/>
  <c r="D307" i="2" l="1"/>
  <c r="E306" i="2"/>
  <c r="C276" i="2"/>
  <c r="E276" i="2" s="1"/>
  <c r="C300" i="2"/>
  <c r="E300" i="2" s="1"/>
  <c r="C312" i="2"/>
  <c r="E312" i="2" s="1"/>
  <c r="F313" i="2" s="1"/>
  <c r="E27" i="2" s="1"/>
  <c r="D320" i="2"/>
  <c r="E320" i="2" s="1"/>
  <c r="D321" i="2" s="1"/>
  <c r="E321" i="2" s="1"/>
  <c r="F322" i="2" s="1"/>
  <c r="E28" i="2" s="1"/>
  <c r="C304" i="2"/>
  <c r="E304" i="2" s="1"/>
  <c r="C273" i="2"/>
  <c r="C278" i="2"/>
  <c r="F365" i="2"/>
  <c r="F367" i="2" s="1"/>
  <c r="D259" i="2"/>
  <c r="E259" i="2" s="1"/>
  <c r="D260" i="2" s="1"/>
  <c r="E260" i="2" s="1"/>
  <c r="D264" i="2"/>
  <c r="E264" i="2" s="1"/>
  <c r="D265" i="2" s="1"/>
  <c r="E265" i="2" s="1"/>
  <c r="E298" i="2"/>
  <c r="C302" i="2"/>
  <c r="E302" i="2" s="1"/>
  <c r="F378" i="2"/>
  <c r="F388" i="2" s="1"/>
  <c r="E232" i="10"/>
  <c r="C228" i="10"/>
  <c r="C230" i="10" s="1"/>
  <c r="E230" i="10" s="1"/>
  <c r="D231" i="10" s="1"/>
  <c r="E231" i="10" s="1"/>
  <c r="E219" i="10"/>
  <c r="E218" i="10"/>
  <c r="E217" i="10"/>
  <c r="E216" i="10"/>
  <c r="E215" i="10"/>
  <c r="C206" i="10"/>
  <c r="C204" i="10"/>
  <c r="E204" i="10" s="1"/>
  <c r="E202" i="10"/>
  <c r="D191" i="10"/>
  <c r="D189" i="10"/>
  <c r="D187" i="10"/>
  <c r="D185" i="10"/>
  <c r="C183" i="10"/>
  <c r="C191" i="10" s="1"/>
  <c r="E176" i="10"/>
  <c r="C174" i="10"/>
  <c r="E174" i="10" s="1"/>
  <c r="C173" i="10"/>
  <c r="E173" i="10" s="1"/>
  <c r="C172" i="10"/>
  <c r="E168" i="10"/>
  <c r="C167" i="10"/>
  <c r="C162" i="10"/>
  <c r="D161" i="10"/>
  <c r="D156" i="10"/>
  <c r="E156" i="10" s="1"/>
  <c r="E152" i="10"/>
  <c r="C149" i="10"/>
  <c r="C145" i="10"/>
  <c r="C144" i="10"/>
  <c r="E140" i="10"/>
  <c r="E127" i="10"/>
  <c r="D126" i="10"/>
  <c r="E126" i="10" s="1"/>
  <c r="D125" i="10"/>
  <c r="E125" i="10" s="1"/>
  <c r="D124" i="10"/>
  <c r="E124" i="10" s="1"/>
  <c r="D123" i="10"/>
  <c r="E123" i="10" s="1"/>
  <c r="D122" i="10"/>
  <c r="E122" i="10" s="1"/>
  <c r="D121" i="10"/>
  <c r="E121" i="10" s="1"/>
  <c r="E116" i="10"/>
  <c r="E115" i="10"/>
  <c r="E114" i="10"/>
  <c r="E113" i="10"/>
  <c r="E112" i="10"/>
  <c r="E111" i="10"/>
  <c r="E110" i="10"/>
  <c r="E109" i="10"/>
  <c r="E108" i="10"/>
  <c r="E107" i="10"/>
  <c r="E106" i="10"/>
  <c r="A84" i="10"/>
  <c r="A83" i="10"/>
  <c r="E71" i="10"/>
  <c r="E58" i="10"/>
  <c r="E41" i="10"/>
  <c r="A41" i="10"/>
  <c r="E37" i="10"/>
  <c r="C128" i="10" s="1"/>
  <c r="A37" i="10"/>
  <c r="E36" i="10"/>
  <c r="C117" i="10" s="1"/>
  <c r="A36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5" i="10"/>
  <c r="A14" i="10"/>
  <c r="A13" i="10"/>
  <c r="A12" i="10"/>
  <c r="A11" i="10"/>
  <c r="C279" i="2" l="1"/>
  <c r="D280" i="2" s="1"/>
  <c r="E280" i="2" s="1"/>
  <c r="C274" i="2"/>
  <c r="D275" i="2" s="1"/>
  <c r="E275" i="2" s="1"/>
  <c r="E35" i="2"/>
  <c r="F308" i="2"/>
  <c r="E26" i="2" s="1"/>
  <c r="D117" i="10"/>
  <c r="E117" i="10" s="1"/>
  <c r="F118" i="10" s="1"/>
  <c r="A96" i="10"/>
  <c r="A90" i="10"/>
  <c r="A95" i="10"/>
  <c r="A89" i="10"/>
  <c r="E266" i="2"/>
  <c r="D267" i="2" s="1"/>
  <c r="E267" i="2" s="1"/>
  <c r="F268" i="2" s="1"/>
  <c r="E23" i="2" s="1"/>
  <c r="E38" i="10"/>
  <c r="C95" i="10"/>
  <c r="E95" i="10" s="1"/>
  <c r="C83" i="10"/>
  <c r="C89" i="10" s="1"/>
  <c r="E89" i="10" s="1"/>
  <c r="C96" i="10"/>
  <c r="E96" i="10" s="1"/>
  <c r="C84" i="10"/>
  <c r="C90" i="10" s="1"/>
  <c r="E90" i="10" s="1"/>
  <c r="D128" i="10"/>
  <c r="E128" i="10" s="1"/>
  <c r="F129" i="10" s="1"/>
  <c r="D192" i="10"/>
  <c r="E191" i="10"/>
  <c r="F220" i="10"/>
  <c r="F222" i="10" s="1"/>
  <c r="E27" i="10" s="1"/>
  <c r="C185" i="10"/>
  <c r="E185" i="10" s="1"/>
  <c r="C197" i="10"/>
  <c r="E197" i="10" s="1"/>
  <c r="F198" i="10" s="1"/>
  <c r="E25" i="10" s="1"/>
  <c r="D205" i="10"/>
  <c r="E205" i="10" s="1"/>
  <c r="D206" i="10" s="1"/>
  <c r="E206" i="10" s="1"/>
  <c r="F207" i="10" s="1"/>
  <c r="E26" i="10" s="1"/>
  <c r="C189" i="10"/>
  <c r="E189" i="10" s="1"/>
  <c r="C158" i="10"/>
  <c r="C161" i="10"/>
  <c r="E161" i="10" s="1"/>
  <c r="E145" i="10"/>
  <c r="D172" i="10"/>
  <c r="E172" i="10" s="1"/>
  <c r="D175" i="10" s="1"/>
  <c r="E175" i="10" s="1"/>
  <c r="F176" i="10" s="1"/>
  <c r="E23" i="10" s="1"/>
  <c r="E183" i="10"/>
  <c r="C187" i="10"/>
  <c r="E187" i="10" s="1"/>
  <c r="E228" i="10"/>
  <c r="D229" i="10" s="1"/>
  <c r="E229" i="10" s="1"/>
  <c r="F232" i="10" s="1"/>
  <c r="F234" i="10" s="1"/>
  <c r="E28" i="10" s="1"/>
  <c r="D143" i="10"/>
  <c r="E143" i="10" s="1"/>
  <c r="D144" i="10" s="1"/>
  <c r="E144" i="10" s="1"/>
  <c r="C215" i="2"/>
  <c r="E215" i="2" s="1"/>
  <c r="C214" i="2"/>
  <c r="C216" i="2"/>
  <c r="E216" i="2" s="1"/>
  <c r="E84" i="10" l="1"/>
  <c r="E281" i="2"/>
  <c r="D282" i="2" s="1"/>
  <c r="E282" i="2" s="1"/>
  <c r="F283" i="2" s="1"/>
  <c r="E31" i="2" s="1"/>
  <c r="E29" i="2" s="1"/>
  <c r="C159" i="10"/>
  <c r="D160" i="10" s="1"/>
  <c r="E160" i="10" s="1"/>
  <c r="F79" i="10"/>
  <c r="E14" i="10" s="1"/>
  <c r="E83" i="10"/>
  <c r="F85" i="10" s="1"/>
  <c r="E15" i="10" s="1"/>
  <c r="F91" i="10"/>
  <c r="E16" i="10" s="1"/>
  <c r="F97" i="10"/>
  <c r="F193" i="10"/>
  <c r="E24" i="10" s="1"/>
  <c r="F131" i="10"/>
  <c r="E18" i="10" s="1"/>
  <c r="C163" i="10"/>
  <c r="D148" i="10"/>
  <c r="E148" i="10" s="1"/>
  <c r="D149" i="10" s="1"/>
  <c r="E149" i="10" s="1"/>
  <c r="E150" i="10" s="1"/>
  <c r="D151" i="10" s="1"/>
  <c r="E151" i="10" s="1"/>
  <c r="F152" i="10" s="1"/>
  <c r="A37" i="2"/>
  <c r="A34" i="2"/>
  <c r="A33" i="2"/>
  <c r="A14" i="2"/>
  <c r="A13" i="2"/>
  <c r="A5" i="2"/>
  <c r="E24" i="2" l="1"/>
  <c r="C164" i="10"/>
  <c r="D165" i="10" s="1"/>
  <c r="E165" i="10" s="1"/>
  <c r="E166" i="10" s="1"/>
  <c r="D167" i="10" s="1"/>
  <c r="E167" i="10" s="1"/>
  <c r="F168" i="10" s="1"/>
  <c r="E22" i="10" s="1"/>
  <c r="E17" i="10"/>
  <c r="E21" i="10"/>
  <c r="F209" i="10" l="1"/>
  <c r="E19" i="10" s="1"/>
  <c r="E20" i="10"/>
  <c r="C145" i="2" l="1"/>
  <c r="C123" i="2" l="1"/>
  <c r="C111" i="2"/>
  <c r="C117" i="2" s="1"/>
  <c r="E117" i="2" s="1"/>
  <c r="F119" i="2" s="1"/>
  <c r="E11" i="2" s="1"/>
  <c r="C209" i="2"/>
  <c r="C204" i="2"/>
  <c r="D233" i="2"/>
  <c r="D231" i="2"/>
  <c r="D229" i="2"/>
  <c r="D227" i="2"/>
  <c r="D149" i="2" l="1"/>
  <c r="E149" i="2" s="1"/>
  <c r="E135" i="2"/>
  <c r="E136" i="2"/>
  <c r="E137" i="2"/>
  <c r="E138" i="2"/>
  <c r="E139" i="2"/>
  <c r="E140" i="2"/>
  <c r="E141" i="2"/>
  <c r="E142" i="2"/>
  <c r="E143" i="2"/>
  <c r="E134" i="2"/>
  <c r="C248" i="2" l="1"/>
  <c r="A21" i="2"/>
  <c r="A20" i="2"/>
  <c r="A19" i="2"/>
  <c r="A18" i="2"/>
  <c r="A17" i="2"/>
  <c r="A16" i="2"/>
  <c r="A15" i="2"/>
  <c r="A12" i="2"/>
  <c r="A10" i="2"/>
  <c r="A9" i="2"/>
  <c r="A7" i="2"/>
  <c r="A6" i="2"/>
  <c r="C17" i="8"/>
  <c r="D198" i="2"/>
  <c r="C9" i="4"/>
  <c r="C14" i="4" s="1"/>
  <c r="F7" i="4"/>
  <c r="E7" i="4"/>
  <c r="D7" i="4"/>
  <c r="C14" i="8"/>
  <c r="B29" i="5"/>
  <c r="B24" i="5"/>
  <c r="C28" i="8" s="1"/>
  <c r="B23" i="5"/>
  <c r="C246" i="2"/>
  <c r="E246" i="2" s="1"/>
  <c r="C225" i="2"/>
  <c r="C227" i="2" s="1"/>
  <c r="E227" i="2" s="1"/>
  <c r="D234" i="2"/>
  <c r="E182" i="2"/>
  <c r="D203" i="2"/>
  <c r="C191" i="2"/>
  <c r="C186" i="2"/>
  <c r="C187" i="2"/>
  <c r="C203" i="2" s="1"/>
  <c r="A44" i="2"/>
  <c r="A111" i="2"/>
  <c r="A112" i="2"/>
  <c r="E144" i="2"/>
  <c r="D150" i="2"/>
  <c r="E150" i="2" s="1"/>
  <c r="D151" i="2"/>
  <c r="E151" i="2" s="1"/>
  <c r="D152" i="2"/>
  <c r="E152" i="2" s="1"/>
  <c r="E154" i="2"/>
  <c r="E155" i="2"/>
  <c r="E156" i="2"/>
  <c r="E244" i="2"/>
  <c r="C397" i="2" l="1"/>
  <c r="C243" i="10"/>
  <c r="D287" i="2"/>
  <c r="E287" i="2" s="1"/>
  <c r="D290" i="2" s="1"/>
  <c r="E290" i="2" s="1"/>
  <c r="F291" i="2" s="1"/>
  <c r="E25" i="2" s="1"/>
  <c r="E22" i="2" s="1"/>
  <c r="A124" i="2"/>
  <c r="A118" i="2"/>
  <c r="A123" i="2"/>
  <c r="A117" i="2"/>
  <c r="D185" i="2"/>
  <c r="E185" i="2" s="1"/>
  <c r="D214" i="2"/>
  <c r="E214" i="2" s="1"/>
  <c r="C27" i="8"/>
  <c r="F23" i="5"/>
  <c r="B34" i="5"/>
  <c r="D32" i="5"/>
  <c r="C32" i="5" s="1"/>
  <c r="C33" i="5" s="1"/>
  <c r="B33" i="5" s="1"/>
  <c r="C24" i="8" s="1"/>
  <c r="C32" i="8" s="1"/>
  <c r="C231" i="2"/>
  <c r="E231" i="2" s="1"/>
  <c r="C233" i="2"/>
  <c r="E233" i="2" s="1"/>
  <c r="E33" i="2"/>
  <c r="E112" i="2"/>
  <c r="E225" i="2"/>
  <c r="E187" i="2"/>
  <c r="C205" i="2" s="1"/>
  <c r="D145" i="2"/>
  <c r="E111" i="2"/>
  <c r="E47" i="2"/>
  <c r="E123" i="2"/>
  <c r="E203" i="2"/>
  <c r="E124" i="2"/>
  <c r="C229" i="2"/>
  <c r="E229" i="2" s="1"/>
  <c r="C239" i="2"/>
  <c r="E239" i="2" s="1"/>
  <c r="F240" i="2" s="1"/>
  <c r="E20" i="2" s="1"/>
  <c r="E34" i="2"/>
  <c r="E198" i="2"/>
  <c r="D247" i="2"/>
  <c r="E247" i="2" s="1"/>
  <c r="D248" i="2" s="1"/>
  <c r="E248" i="2" s="1"/>
  <c r="F249" i="2" s="1"/>
  <c r="E21" i="2" s="1"/>
  <c r="D157" i="2"/>
  <c r="D186" i="2" l="1"/>
  <c r="E186" i="2" s="1"/>
  <c r="D217" i="2"/>
  <c r="C200" i="2"/>
  <c r="C201" i="2" s="1"/>
  <c r="D202" i="2" s="1"/>
  <c r="E202" i="2" s="1"/>
  <c r="C26" i="8"/>
  <c r="C25" i="8"/>
  <c r="C16" i="8" s="1"/>
  <c r="C22" i="8" s="1"/>
  <c r="C31" i="8" s="1"/>
  <c r="C33" i="8" s="1"/>
  <c r="J30" i="5"/>
  <c r="J31" i="5" s="1"/>
  <c r="J32" i="5" s="1"/>
  <c r="J33" i="5" s="1"/>
  <c r="J34" i="5" s="1"/>
  <c r="J35" i="5" s="1"/>
  <c r="J36" i="5" s="1"/>
  <c r="E32" i="5"/>
  <c r="F32" i="5" s="1"/>
  <c r="B32" i="5"/>
  <c r="F113" i="2"/>
  <c r="F125" i="2"/>
  <c r="E12" i="2" s="1"/>
  <c r="E157" i="2"/>
  <c r="F158" i="2" s="1"/>
  <c r="E145" i="2"/>
  <c r="F146" i="2" s="1"/>
  <c r="D190" i="2"/>
  <c r="E190" i="2" s="1"/>
  <c r="D191" i="2" s="1"/>
  <c r="E191" i="2" s="1"/>
  <c r="F107" i="2"/>
  <c r="E9" i="2" s="1"/>
  <c r="F235" i="2"/>
  <c r="E19" i="2" l="1"/>
  <c r="F173" i="2"/>
  <c r="E13" i="2" s="1"/>
  <c r="E217" i="2"/>
  <c r="F218" i="2" s="1"/>
  <c r="E10" i="2"/>
  <c r="C29" i="8"/>
  <c r="C35" i="8" s="1"/>
  <c r="F33" i="5"/>
  <c r="F27" i="5"/>
  <c r="E192" i="2"/>
  <c r="D193" i="2" s="1"/>
  <c r="E193" i="2" s="1"/>
  <c r="F194" i="2" s="1"/>
  <c r="C206" i="2"/>
  <c r="D207" i="2" s="1"/>
  <c r="E207" i="2" s="1"/>
  <c r="E208" i="2" s="1"/>
  <c r="D209" i="2" s="1"/>
  <c r="E209" i="2" s="1"/>
  <c r="F210" i="2" s="1"/>
  <c r="F354" i="2" l="1"/>
  <c r="E14" i="2" s="1"/>
  <c r="F99" i="2"/>
  <c r="F58" i="10"/>
  <c r="E12" i="10" s="1"/>
  <c r="F71" i="10"/>
  <c r="E18" i="2"/>
  <c r="E16" i="2"/>
  <c r="E17" i="2"/>
  <c r="E8" i="2" l="1"/>
  <c r="F127" i="2"/>
  <c r="E13" i="10"/>
  <c r="F99" i="10"/>
  <c r="E15" i="2"/>
  <c r="F391" i="2" l="1"/>
  <c r="D397" i="2" s="1"/>
  <c r="E397" i="2" s="1"/>
  <c r="F398" i="2" s="1"/>
  <c r="F400" i="2" s="1"/>
  <c r="E11" i="10"/>
  <c r="F237" i="10"/>
  <c r="E5" i="2"/>
  <c r="F403" i="2" l="1"/>
  <c r="E6" i="11" s="1"/>
  <c r="E37" i="2"/>
  <c r="E38" i="2" s="1"/>
  <c r="F31" i="2" s="1"/>
  <c r="D243" i="10"/>
  <c r="E243" i="10" s="1"/>
  <c r="F244" i="10" s="1"/>
  <c r="F246" i="10" s="1"/>
  <c r="E29" i="10" s="1"/>
  <c r="E30" i="10" s="1"/>
  <c r="F11" i="10" s="1"/>
  <c r="F407" i="2" l="1"/>
  <c r="D6" i="11" s="1"/>
  <c r="F37" i="2"/>
  <c r="F33" i="2"/>
  <c r="F18" i="2"/>
  <c r="F17" i="2"/>
  <c r="F15" i="2"/>
  <c r="F20" i="2"/>
  <c r="F14" i="2"/>
  <c r="F6" i="2"/>
  <c r="F34" i="2"/>
  <c r="F29" i="2"/>
  <c r="F11" i="2"/>
  <c r="F22" i="2"/>
  <c r="F24" i="2"/>
  <c r="F27" i="2"/>
  <c r="F26" i="2"/>
  <c r="F36" i="2"/>
  <c r="F30" i="2"/>
  <c r="F19" i="2"/>
  <c r="F9" i="2"/>
  <c r="F10" i="2"/>
  <c r="F16" i="2"/>
  <c r="F7" i="2"/>
  <c r="F21" i="2"/>
  <c r="F12" i="2"/>
  <c r="F13" i="2"/>
  <c r="F5" i="2"/>
  <c r="F8" i="2"/>
  <c r="F23" i="2"/>
  <c r="F35" i="2"/>
  <c r="F25" i="2"/>
  <c r="F28" i="2"/>
  <c r="F32" i="2"/>
  <c r="F29" i="10"/>
  <c r="F16" i="10"/>
  <c r="F23" i="10"/>
  <c r="F15" i="10"/>
  <c r="F18" i="10"/>
  <c r="F21" i="10"/>
  <c r="F25" i="10"/>
  <c r="F14" i="10"/>
  <c r="F19" i="10"/>
  <c r="F27" i="10"/>
  <c r="F26" i="10"/>
  <c r="F12" i="10"/>
  <c r="F22" i="10"/>
  <c r="F28" i="10"/>
  <c r="F24" i="10"/>
  <c r="F17" i="10"/>
  <c r="F20" i="10"/>
  <c r="F13" i="10"/>
  <c r="F249" i="10"/>
  <c r="F253" i="10" l="1"/>
  <c r="D5" i="11" s="1"/>
  <c r="E5" i="11"/>
  <c r="E7" i="11" s="1"/>
  <c r="F38" i="2"/>
  <c r="F30" i="10"/>
</calcChain>
</file>

<file path=xl/comments1.xml><?xml version="1.0" encoding="utf-8"?>
<comments xmlns="http://schemas.openxmlformats.org/spreadsheetml/2006/main">
  <authors>
    <author>Clauber Bridi</author>
  </authors>
  <commentList>
    <comment ref="A9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1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2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57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62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63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64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65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66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68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0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5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76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77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78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83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4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89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0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95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96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0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0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0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1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1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2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2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27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40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41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42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43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5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46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47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48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1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57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3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174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179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182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182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184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184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186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186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188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188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190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190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197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02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02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03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04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05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15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5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6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6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7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7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8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8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19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9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25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8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30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43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51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3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67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7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78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79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0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81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83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5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0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1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2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3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4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6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8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03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04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05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06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11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12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17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18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3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3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3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44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4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5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9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2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3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8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89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3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6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21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4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4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26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26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8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8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0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0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2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2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39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4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4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5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46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47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256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57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58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59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1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262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263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264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7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72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8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89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94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97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97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99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99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301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301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303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303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305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305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312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17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17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18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319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320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329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330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331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332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5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341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1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60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60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61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6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6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6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63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63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64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64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70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4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376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D382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384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97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405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3.xml><?xml version="1.0" encoding="utf-8"?>
<comments xmlns="http://schemas.openxmlformats.org/spreadsheetml/2006/main">
  <authors>
    <author>Jorge Mesquita</author>
  </authors>
  <commentList>
    <comment ref="F32" author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4.xml><?xml version="1.0" encoding="utf-8"?>
<comments xmlns="http://schemas.openxmlformats.org/spreadsheetml/2006/main">
  <authors>
    <author>Clauber Bridi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5.xml><?xml version="1.0" encoding="utf-8"?>
<comments xmlns="http://schemas.openxmlformats.org/spreadsheetml/2006/main">
  <authors>
    <author>cbridi</author>
    <author>Omar</author>
    <author>Clauber Bridi</author>
  </authors>
  <commentList>
    <comment ref="C4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6" authorId="1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1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2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15" authorId="2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<sst xmlns="http://schemas.openxmlformats.org/spreadsheetml/2006/main" count="1153" uniqueCount="344">
  <si>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</si>
  <si>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</si>
  <si>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</si>
  <si>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</si>
  <si>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</si>
  <si>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</si>
  <si>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</si>
  <si>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</si>
  <si>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</si>
  <si>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</si>
  <si>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</si>
  <si>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</si>
  <si>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</si>
  <si>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</si>
  <si>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</si>
  <si>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</si>
  <si>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</si>
  <si>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</si>
  <si>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</si>
  <si>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</si>
  <si>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</si>
  <si>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</si>
  <si>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</si>
  <si>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</si>
  <si>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</si>
  <si>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</si>
  <si>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</si>
  <si>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</si>
  <si>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</si>
  <si>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</si>
  <si>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</si>
  <si>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</si>
  <si>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</si>
  <si>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</si>
  <si>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</si>
  <si>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</si>
  <si>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</si>
  <si>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</si>
  <si>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</si>
  <si>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</si>
  <si>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</si>
  <si>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</si>
  <si>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</si>
  <si>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</si>
  <si>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</si>
  <si>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</si>
  <si>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</si>
  <si>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</si>
  <si>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</si>
  <si>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</si>
  <si>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</si>
  <si>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</si>
  <si>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</si>
  <si>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</si>
  <si>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</si>
  <si>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</si>
  <si>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</si>
  <si>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</si>
  <si>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</si>
  <si>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</si>
  <si>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</si>
  <si>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</si>
  <si>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</si>
  <si>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</si>
  <si>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</si>
  <si>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</si>
  <si>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</si>
  <si>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</si>
  <si>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</si>
  <si>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</si>
  <si>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</si>
  <si>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</si>
  <si>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</si>
  <si>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</si>
  <si>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</si>
  <si>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</si>
  <si>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</si>
  <si>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</si>
  <si>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</si>
  <si>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</si>
  <si>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</si>
  <si>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</si>
  <si>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</si>
  <si>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</si>
  <si>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</si>
  <si>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</si>
  <si>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</si>
  <si>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</si>
  <si>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</si>
  <si>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</si>
  <si>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</si>
  <si>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</si>
  <si>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</si>
  <si>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</si>
  <si>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</si>
  <si>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</si>
  <si>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1.1. Coletor Turno Dia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</si>
  <si>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</si>
  <si>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</si>
  <si>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</si>
  <si>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</si>
  <si>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</si>
  <si>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</si>
  <si>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</si>
  <si>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</si>
  <si>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</si>
  <si>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</si>
  <si>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</si>
  <si>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</si>
  <si>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</si>
  <si>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</si>
  <si>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</si>
  <si>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</si>
  <si>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</si>
  <si>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</si>
  <si>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</si>
  <si>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</si>
  <si>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</si>
  <si>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</si>
  <si>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</si>
  <si>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</si>
  <si>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</si>
  <si>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</si>
  <si>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</si>
  <si>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</si>
  <si>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</si>
  <si>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</si>
  <si>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</si>
  <si>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</si>
  <si>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</si>
  <si>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</si>
  <si>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</si>
  <si>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</si>
  <si>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</si>
  <si>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</si>
  <si>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</si>
  <si>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</si>
  <si>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</si>
  <si>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</si>
  <si>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</si>
  <si>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</si>
  <si>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</si>
  <si>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</si>
  <si>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</si>
  <si>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</si>
  <si>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</si>
  <si>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</si>
  <si>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</si>
  <si>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</si>
  <si>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</si>
  <si>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</si>
  <si>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</si>
  <si>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</si>
  <si>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</si>
  <si>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</si>
  <si>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</si>
  <si>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</si>
  <si>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</si>
  <si>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</si>
  <si>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</si>
  <si>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</si>
  <si>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</si>
  <si>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</si>
  <si>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</si>
  <si>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</si>
  <si>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</si>
  <si>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</si>
  <si>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</si>
  <si>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</si>
  <si>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</si>
  <si>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</si>
  <si>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</si>
  <si>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</si>
  <si>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</si>
  <si>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</si>
  <si>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</si>
  <si>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</si>
  <si>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</si>
  <si>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</si>
  <si>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</si>
  <si>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</si>
  <si>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</si>
  <si>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</si>
  <si>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</si>
  <si>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</si>
  <si>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</si>
  <si>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</si>
  <si>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</si>
  <si>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</si>
  <si>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</si>
  <si>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</si>
  <si>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</si>
  <si>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</si>
  <si>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</si>
  <si>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</si>
  <si>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</si>
  <si>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</si>
  <si>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</si>
  <si>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</si>
  <si>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</si>
  <si>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</si>
  <si>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</si>
  <si>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Excluir esta linha caso a contratação seja por preço global mensal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</si>
  <si>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</si>
  <si>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</si>
  <si>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</si>
  <si>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</si>
  <si>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</si>
  <si>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</si>
  <si>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</si>
  <si>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</si>
  <si>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</si>
  <si>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Piso da categoria (1)</t>
  </si>
  <si>
    <t>Salário mínimo nacional (2)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</si>
  <si>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</si>
  <si>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</si>
  <si>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</si>
  <si>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</si>
  <si>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</si>
  <si>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</si>
  <si>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</si>
  <si>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</si>
  <si>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</si>
  <si>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</si>
  <si>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</si>
  <si>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</si>
  <si>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</si>
  <si>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</si>
  <si>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</si>
  <si>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</si>
  <si>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</si>
  <si>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</si>
  <si>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</si>
  <si>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</si>
  <si>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</si>
  <si>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</si>
  <si>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</si>
  <si>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</si>
  <si>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</si>
  <si>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</si>
  <si>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</si>
  <si>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</si>
  <si>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</si>
  <si>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</si>
  <si>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</si>
  <si>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</si>
  <si>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</si>
  <si>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</si>
  <si>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</si>
  <si>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</si>
  <si>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</si>
  <si>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</si>
  <si>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</si>
  <si>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</si>
  <si>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</si>
  <si>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</si>
  <si>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</si>
  <si>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</si>
  <si>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</si>
  <si>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</si>
  <si>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</si>
  <si>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</si>
  <si>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</si>
  <si>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</si>
  <si>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</si>
  <si>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</si>
  <si>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</si>
  <si>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</si>
  <si>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</si>
  <si>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</si>
  <si>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</si>
  <si>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Depreciação Média</t>
  </si>
  <si>
    <t>1.1. Coleta manual</t>
  </si>
  <si>
    <t>1.6. Auxílio-lanche (diário)</t>
  </si>
  <si>
    <t>1.4. Vale Transporte</t>
  </si>
  <si>
    <t>1.5. Vale-refeição (diário)</t>
  </si>
  <si>
    <t>1.2. Motorista Turno do Dia</t>
  </si>
  <si>
    <t>1.3. Vale Transporte</t>
  </si>
  <si>
    <t>1.4. Vale-refeição (diário)</t>
  </si>
  <si>
    <t>1.5. Auxílio-lanche (diário)</t>
  </si>
  <si>
    <t>1.6. Auxílio Alimentação (mensal)</t>
  </si>
  <si>
    <t>7.1. Coleta manual</t>
  </si>
  <si>
    <t>7.2. Coleta automatizada</t>
  </si>
  <si>
    <t>1.3. Motorista Turno do Dia - Caminhão Higienizador</t>
  </si>
  <si>
    <t>1.2 Motorista Turno do Dia - Caminhão de Coleta</t>
  </si>
  <si>
    <t>2.2. Uniformes e EPIs para Motorista do Caminhão de Coleta</t>
  </si>
  <si>
    <t>2.3. Uniformes e EPIs para Motorista do Caminhão Higienizador</t>
  </si>
  <si>
    <t>3.2.6. Pneus</t>
  </si>
  <si>
    <t>3.2.5. Manutenção</t>
  </si>
  <si>
    <t>3.2.4. Consumos</t>
  </si>
  <si>
    <t>3.2.3. Impostos e Seguros</t>
  </si>
  <si>
    <t>3.3. Contêineres</t>
  </si>
  <si>
    <t>3.3.1. Depreciação</t>
  </si>
  <si>
    <t>Custo de aquisição do conteiner</t>
  </si>
  <si>
    <t>Total de veículos</t>
  </si>
  <si>
    <t>Veículos</t>
  </si>
  <si>
    <t>Contêineres</t>
  </si>
  <si>
    <t>3.2.1. Depreciação</t>
  </si>
  <si>
    <t>Vida útil do contêiner</t>
  </si>
  <si>
    <t>Idade do contêiner</t>
  </si>
  <si>
    <t>Depreciação do contêiner</t>
  </si>
  <si>
    <t>Depreciação mensal contêineres</t>
  </si>
  <si>
    <t>Total por contêiner</t>
  </si>
  <si>
    <t>Total dos contêineres</t>
  </si>
  <si>
    <t>3.3.2. Remuneração do Capital</t>
  </si>
  <si>
    <t>Custo de manutenção dos contêineres</t>
  </si>
  <si>
    <t xml:space="preserve"> 3.2.2. Remuneração do Capital</t>
  </si>
  <si>
    <t>3.3.3. Manutenção</t>
  </si>
  <si>
    <t>Custo de aquisição do higienizador de contêineres</t>
  </si>
  <si>
    <t>Vida útil do higienizador de contêineres</t>
  </si>
  <si>
    <t>Idade do higienizador de contêineres</t>
  </si>
  <si>
    <t>Depreciação do higienizador de contêineres</t>
  </si>
  <si>
    <t>Depreciação mensal do higienizador</t>
  </si>
  <si>
    <t>1.2. Coleta automatizada</t>
  </si>
  <si>
    <t>Estoque recuperado início do Período 01-01-2018</t>
  </si>
  <si>
    <t>Variação Emprego Absoluta de 01-05-2017 a 30-04-2018</t>
  </si>
  <si>
    <t>Estoque recuperado final do Período 31-05-2018</t>
  </si>
  <si>
    <t>3.1. Veículo Coletor Compactador - Truck 19 m³</t>
  </si>
  <si>
    <t>3.1. Veículo Coletor Compactador - Truck 15 m³</t>
  </si>
  <si>
    <t>Custo do jogo de pneus 295/80 R22,5</t>
  </si>
  <si>
    <t>contêineres</t>
  </si>
  <si>
    <t>PREÇO POR CONTÊINER:  [A/B]</t>
  </si>
  <si>
    <t>R$/contêiner</t>
  </si>
  <si>
    <t>Custo jg. compl. + 2 recap./ km rodado</t>
  </si>
  <si>
    <t>Coleta manual</t>
  </si>
  <si>
    <t>Coleta automatizada</t>
  </si>
  <si>
    <t>8. Valor total</t>
  </si>
  <si>
    <t>Valor unitário</t>
  </si>
  <si>
    <t>tonelada</t>
  </si>
  <si>
    <t>contêiner</t>
  </si>
  <si>
    <t>Valor mensal</t>
  </si>
  <si>
    <t>Total</t>
  </si>
  <si>
    <t>-</t>
  </si>
  <si>
    <r>
      <t>J</t>
    </r>
    <r>
      <rPr>
        <vertAlign val="subscript"/>
        <sz val="10"/>
        <color indexed="8"/>
        <rFont val="Arial"/>
        <family val="2"/>
      </rPr>
      <t>m</t>
    </r>
    <r>
      <rPr>
        <sz val="10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</si>
  <si>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0"/>
        <color indexed="8"/>
        <rFont val="Arial"/>
        <family val="2"/>
      </rPr>
      <t>0</t>
    </r>
    <r>
      <rPr>
        <sz val="10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</si>
  <si>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0"/>
        <color indexed="8"/>
        <rFont val="Arial"/>
        <family val="2"/>
      </rPr>
      <t>r</t>
    </r>
    <r>
      <rPr>
        <sz val="10"/>
        <color indexed="8"/>
        <rFont val="Arial"/>
        <family val="2"/>
      </rPr>
      <t xml:space="preserve"> = valor residual do bem</t>
    </r>
  </si>
  <si>
    <t>Quantidade mensal</t>
  </si>
  <si>
    <t>Apêndice B - Planilha de Composição de Custos</t>
  </si>
  <si>
    <t>Horas Extras (100%)</t>
  </si>
  <si>
    <t>hora</t>
  </si>
  <si>
    <t>Excluir esta linha caso a contratação não tenha previsão de horas extras 100% explícita no edital</t>
  </si>
  <si>
    <t>3.2. Veículo Higienizador - Truck 15 m³</t>
  </si>
  <si>
    <t>5.1. Veículo Coletor Compactador - Truck 19 m³</t>
  </si>
  <si>
    <r>
      <t>5.2. Veículo Higienizador - Truck 15 m</t>
    </r>
    <r>
      <rPr>
        <i/>
        <sz val="10"/>
        <rFont val="Arial"/>
        <family val="2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</si>
</sst>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  <numFmt numFmtId="173" formatCode="&quot;R$&quot;\ #,##0.0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0"/>
      <name val="Arial"/>
      <family val="2"/>
    </font>
    <font>
      <vertAlign val="subscript"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0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3" xfId="3" applyFont="1" applyBorder="1" applyAlignment="1">
      <alignment horizontal="right"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4" xfId="0" applyNumberFormat="1" applyFont="1" applyBorder="1" applyAlignment="1">
      <alignment vertical="center"/>
    </xf>
    <xf numFmtId="165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6" fillId="0" borderId="0" xfId="0" applyFont="1" applyBorder="1"/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8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Border="1"/>
    <xf numFmtId="0" fontId="18" fillId="0" borderId="0" xfId="0" applyFont="1" applyBorder="1" applyAlignment="1">
      <alignment horizontal="right" vertic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6" fillId="3" borderId="9" xfId="3" applyNumberFormat="1" applyFont="1" applyFill="1" applyBorder="1" applyAlignment="1">
      <alignment vertical="center"/>
    </xf>
    <xf numFmtId="165" fontId="6" fillId="0" borderId="10" xfId="3" applyFont="1" applyBorder="1" applyAlignment="1">
      <alignment vertical="center"/>
    </xf>
    <xf numFmtId="165" fontId="3" fillId="0" borderId="7" xfId="3" applyFont="1" applyBorder="1" applyAlignment="1">
      <alignment horizontal="right" vertical="center"/>
    </xf>
    <xf numFmtId="165" fontId="3" fillId="2" borderId="4" xfId="3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6" xfId="0" applyNumberFormat="1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49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165" fontId="3" fillId="0" borderId="49" xfId="3" applyFont="1" applyBorder="1" applyAlignment="1">
      <alignment horizontal="center" vertical="center"/>
    </xf>
    <xf numFmtId="165" fontId="3" fillId="0" borderId="49" xfId="3" applyFont="1" applyFill="1" applyBorder="1" applyAlignment="1">
      <alignment horizontal="center" vertical="center"/>
    </xf>
    <xf numFmtId="0" fontId="1" fillId="0" borderId="0" xfId="0" applyFont="1" applyFill="1"/>
    <xf numFmtId="165" fontId="3" fillId="0" borderId="14" xfId="3" applyFont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165" fontId="5" fillId="0" borderId="0" xfId="3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3" fillId="4" borderId="0" xfId="3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5" fontId="3" fillId="4" borderId="0" xfId="3" applyFont="1" applyFill="1" applyBorder="1" applyAlignment="1">
      <alignment vertical="center"/>
    </xf>
    <xf numFmtId="13" fontId="1" fillId="3" borderId="1" xfId="0" applyNumberFormat="1" applyFont="1" applyFill="1" applyBorder="1" applyAlignment="1">
      <alignment horizontal="center" vertical="center"/>
    </xf>
    <xf numFmtId="165" fontId="1" fillId="0" borderId="0" xfId="3" applyFont="1" applyAlignment="1">
      <alignment vertical="center"/>
    </xf>
    <xf numFmtId="165" fontId="3" fillId="2" borderId="4" xfId="3" applyFont="1" applyFill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5" fontId="1" fillId="0" borderId="0" xfId="3" applyFont="1" applyBorder="1" applyAlignment="1">
      <alignment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3" fillId="0" borderId="1" xfId="3" applyFont="1" applyBorder="1" applyAlignment="1">
      <alignment horizontal="center" vertical="center"/>
    </xf>
    <xf numFmtId="0" fontId="8" fillId="0" borderId="0" xfId="1" applyAlignment="1" applyProtection="1">
      <alignment vertical="center"/>
    </xf>
    <xf numFmtId="165" fontId="3" fillId="0" borderId="1" xfId="3" applyFont="1" applyFill="1" applyBorder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49" xfId="3" applyFont="1" applyBorder="1" applyAlignment="1">
      <alignment horizontal="center" vertical="center"/>
    </xf>
    <xf numFmtId="0" fontId="17" fillId="4" borderId="0" xfId="4" applyFont="1" applyFill="1" applyBorder="1" applyAlignment="1">
      <alignment horizontal="center"/>
    </xf>
    <xf numFmtId="165" fontId="3" fillId="4" borderId="7" xfId="3" applyFont="1" applyFill="1" applyBorder="1" applyAlignment="1">
      <alignment horizontal="center" vertical="center"/>
    </xf>
    <xf numFmtId="165" fontId="6" fillId="0" borderId="44" xfId="3" applyFont="1" applyBorder="1" applyAlignment="1">
      <alignment vertical="center"/>
    </xf>
    <xf numFmtId="165" fontId="6" fillId="0" borderId="2" xfId="3" applyFont="1" applyBorder="1" applyAlignment="1">
      <alignment vertical="center"/>
    </xf>
    <xf numFmtId="1" fontId="6" fillId="0" borderId="45" xfId="3" applyNumberFormat="1" applyFont="1" applyBorder="1" applyAlignment="1">
      <alignment horizontal="center" vertical="center"/>
    </xf>
    <xf numFmtId="165" fontId="3" fillId="0" borderId="18" xfId="3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65" fontId="3" fillId="4" borderId="0" xfId="3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Continuous" vertical="center"/>
    </xf>
    <xf numFmtId="165" fontId="1" fillId="0" borderId="9" xfId="3" applyFont="1" applyBorder="1" applyAlignment="1">
      <alignment vertical="center"/>
    </xf>
    <xf numFmtId="168" fontId="1" fillId="0" borderId="3" xfId="0" applyNumberFormat="1" applyFont="1" applyBorder="1" applyAlignment="1">
      <alignment vertical="center"/>
    </xf>
    <xf numFmtId="10" fontId="1" fillId="0" borderId="15" xfId="2" applyNumberFormat="1" applyFont="1" applyBorder="1" applyAlignment="1">
      <alignment vertical="center"/>
    </xf>
    <xf numFmtId="168" fontId="1" fillId="0" borderId="1" xfId="0" applyNumberFormat="1" applyFont="1" applyBorder="1" applyAlignment="1">
      <alignment vertical="center"/>
    </xf>
    <xf numFmtId="165" fontId="1" fillId="0" borderId="1" xfId="3" applyFont="1" applyBorder="1" applyAlignment="1">
      <alignment horizontal="center" vertical="center"/>
    </xf>
    <xf numFmtId="165" fontId="1" fillId="3" borderId="1" xfId="3" applyFont="1" applyFill="1" applyBorder="1" applyAlignment="1">
      <alignment horizontal="center" vertical="center"/>
    </xf>
    <xf numFmtId="167" fontId="1" fillId="0" borderId="1" xfId="3" applyNumberFormat="1" applyFont="1" applyBorder="1" applyAlignment="1">
      <alignment horizontal="center" vertical="center"/>
    </xf>
    <xf numFmtId="165" fontId="1" fillId="0" borderId="10" xfId="3" applyFont="1" applyBorder="1" applyAlignment="1">
      <alignment vertical="center"/>
    </xf>
    <xf numFmtId="0" fontId="4" fillId="4" borderId="0" xfId="4" applyFont="1" applyFill="1" applyBorder="1" applyAlignment="1">
      <alignment horizontal="left"/>
    </xf>
    <xf numFmtId="0" fontId="0" fillId="4" borderId="0" xfId="0" applyFill="1"/>
    <xf numFmtId="165" fontId="0" fillId="4" borderId="0" xfId="3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1" fillId="4" borderId="0" xfId="0" applyFont="1" applyFill="1" applyBorder="1"/>
    <xf numFmtId="0" fontId="0" fillId="4" borderId="0" xfId="0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165" fontId="0" fillId="4" borderId="0" xfId="3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165" fontId="1" fillId="0" borderId="21" xfId="3" applyFont="1" applyBorder="1" applyAlignment="1">
      <alignment horizontal="center" vertical="center"/>
    </xf>
    <xf numFmtId="165" fontId="1" fillId="0" borderId="22" xfId="3" applyFont="1" applyBorder="1" applyAlignment="1">
      <alignment horizontal="center" vertical="center"/>
    </xf>
    <xf numFmtId="173" fontId="1" fillId="0" borderId="22" xfId="0" applyNumberFormat="1" applyFont="1" applyBorder="1" applyAlignment="1">
      <alignment horizontal="center" vertical="center"/>
    </xf>
    <xf numFmtId="173" fontId="1" fillId="0" borderId="12" xfId="3" applyNumberFormat="1" applyFont="1" applyBorder="1" applyAlignment="1">
      <alignment horizontal="center" vertical="center"/>
    </xf>
    <xf numFmtId="165" fontId="1" fillId="0" borderId="24" xfId="3" applyFont="1" applyBorder="1" applyAlignment="1">
      <alignment horizontal="center" vertical="center"/>
    </xf>
    <xf numFmtId="165" fontId="1" fillId="0" borderId="36" xfId="3" applyFont="1" applyBorder="1" applyAlignment="1">
      <alignment horizontal="center" vertical="center"/>
    </xf>
    <xf numFmtId="173" fontId="1" fillId="0" borderId="36" xfId="0" applyNumberFormat="1" applyFont="1" applyBorder="1" applyAlignment="1">
      <alignment horizontal="center" vertical="center"/>
    </xf>
    <xf numFmtId="173" fontId="1" fillId="0" borderId="37" xfId="3" applyNumberFormat="1" applyFont="1" applyBorder="1" applyAlignment="1">
      <alignment horizontal="center" vertical="center"/>
    </xf>
    <xf numFmtId="0" fontId="3" fillId="4" borderId="0" xfId="4" applyFont="1" applyFill="1" applyBorder="1" applyAlignment="1">
      <alignment horizontal="center"/>
    </xf>
    <xf numFmtId="0" fontId="1" fillId="0" borderId="23" xfId="4" applyFont="1" applyFill="1" applyBorder="1"/>
    <xf numFmtId="0" fontId="1" fillId="3" borderId="20" xfId="4" applyFont="1" applyFill="1" applyBorder="1"/>
    <xf numFmtId="0" fontId="1" fillId="0" borderId="23" xfId="4" applyFont="1" applyBorder="1"/>
    <xf numFmtId="170" fontId="23" fillId="0" borderId="20" xfId="3" applyNumberFormat="1" applyFont="1" applyBorder="1" applyAlignment="1">
      <alignment horizontal="center" vertical="center" wrapText="1"/>
    </xf>
    <xf numFmtId="171" fontId="1" fillId="0" borderId="20" xfId="4" applyNumberFormat="1" applyFont="1" applyBorder="1"/>
    <xf numFmtId="2" fontId="1" fillId="0" borderId="20" xfId="4" applyNumberFormat="1" applyFont="1" applyBorder="1"/>
    <xf numFmtId="171" fontId="1" fillId="3" borderId="20" xfId="4" applyNumberFormat="1" applyFont="1" applyFill="1" applyBorder="1"/>
    <xf numFmtId="0" fontId="1" fillId="0" borderId="20" xfId="4" applyFont="1" applyBorder="1"/>
    <xf numFmtId="172" fontId="1" fillId="3" borderId="20" xfId="4" applyNumberFormat="1" applyFont="1" applyFill="1" applyBorder="1"/>
    <xf numFmtId="0" fontId="1" fillId="0" borderId="24" xfId="4" applyFont="1" applyFill="1" applyBorder="1"/>
    <xf numFmtId="0" fontId="1" fillId="0" borderId="44" xfId="4" applyFont="1" applyFill="1" applyBorder="1"/>
    <xf numFmtId="0" fontId="1" fillId="3" borderId="45" xfId="4" applyFont="1" applyFill="1" applyBorder="1"/>
    <xf numFmtId="0" fontId="1" fillId="0" borderId="2" xfId="4" applyFont="1" applyFill="1" applyBorder="1" applyAlignment="1">
      <alignment horizontal="center"/>
    </xf>
    <xf numFmtId="0" fontId="1" fillId="0" borderId="1" xfId="4" applyFont="1" applyBorder="1" applyAlignment="1">
      <alignment horizontal="center"/>
    </xf>
    <xf numFmtId="0" fontId="1" fillId="0" borderId="36" xfId="4" applyFont="1" applyBorder="1" applyAlignment="1">
      <alignment horizontal="center"/>
    </xf>
    <xf numFmtId="0" fontId="1" fillId="0" borderId="21" xfId="4" applyFont="1" applyFill="1" applyBorder="1"/>
    <xf numFmtId="0" fontId="1" fillId="3" borderId="12" xfId="4" applyFont="1" applyFill="1" applyBorder="1"/>
    <xf numFmtId="0" fontId="1" fillId="0" borderId="22" xfId="4" applyFont="1" applyFill="1" applyBorder="1" applyAlignment="1">
      <alignment horizontal="center"/>
    </xf>
    <xf numFmtId="0" fontId="1" fillId="0" borderId="47" xfId="0" applyFont="1" applyBorder="1"/>
    <xf numFmtId="0" fontId="23" fillId="0" borderId="47" xfId="0" applyFont="1" applyBorder="1" applyAlignment="1">
      <alignment horizontal="justify"/>
    </xf>
    <xf numFmtId="0" fontId="23" fillId="0" borderId="48" xfId="0" applyFont="1" applyBorder="1" applyAlignment="1">
      <alignment horizontal="justify"/>
    </xf>
    <xf numFmtId="0" fontId="6" fillId="0" borderId="46" xfId="0" applyFont="1" applyBorder="1"/>
    <xf numFmtId="0" fontId="1" fillId="0" borderId="0" xfId="0" applyFont="1" applyBorder="1"/>
    <xf numFmtId="0" fontId="17" fillId="4" borderId="0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9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2" fontId="21" fillId="4" borderId="20" xfId="0" applyNumberFormat="1" applyFont="1" applyFill="1" applyBorder="1" applyAlignment="1">
      <alignment horizontal="right" vertical="center"/>
    </xf>
    <xf numFmtId="2" fontId="21" fillId="4" borderId="37" xfId="0" applyNumberFormat="1" applyFont="1" applyFill="1" applyBorder="1" applyAlignment="1">
      <alignment horizontal="right" vertical="center"/>
    </xf>
    <xf numFmtId="0" fontId="21" fillId="4" borderId="44" xfId="0" applyFont="1" applyFill="1" applyBorder="1" applyAlignment="1">
      <alignment horizontal="center" vertical="center"/>
    </xf>
    <xf numFmtId="2" fontId="21" fillId="4" borderId="4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10" fontId="1" fillId="3" borderId="12" xfId="0" applyNumberFormat="1" applyFont="1" applyFill="1" applyBorder="1" applyAlignment="1">
      <alignment horizontal="center" vertical="center"/>
    </xf>
    <xf numFmtId="10" fontId="1" fillId="0" borderId="23" xfId="2" applyNumberFormat="1" applyFont="1" applyBorder="1" applyAlignment="1">
      <alignment horizontal="right"/>
    </xf>
    <xf numFmtId="10" fontId="1" fillId="0" borderId="1" xfId="2" applyNumberFormat="1" applyFont="1" applyBorder="1" applyAlignment="1">
      <alignment horizontal="right"/>
    </xf>
    <xf numFmtId="10" fontId="1" fillId="0" borderId="20" xfId="2" applyNumberFormat="1" applyFont="1" applyBorder="1" applyAlignment="1">
      <alignment horizontal="right"/>
    </xf>
    <xf numFmtId="0" fontId="1" fillId="0" borderId="2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0" fontId="1" fillId="3" borderId="20" xfId="0" applyNumberFormat="1" applyFont="1" applyFill="1" applyBorder="1" applyAlignment="1">
      <alignment horizontal="center" vertical="center"/>
    </xf>
    <xf numFmtId="10" fontId="1" fillId="0" borderId="20" xfId="0" applyNumberFormat="1" applyFont="1" applyFill="1" applyBorder="1" applyAlignment="1">
      <alignment horizontal="center" vertical="center"/>
    </xf>
    <xf numFmtId="10" fontId="1" fillId="3" borderId="1" xfId="2" applyNumberFormat="1" applyFont="1" applyFill="1" applyBorder="1" applyAlignment="1">
      <alignment horizontal="center"/>
    </xf>
    <xf numFmtId="10" fontId="1" fillId="0" borderId="20" xfId="2" applyNumberFormat="1" applyFont="1" applyBorder="1"/>
    <xf numFmtId="0" fontId="1" fillId="0" borderId="23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0" borderId="20" xfId="0" applyFont="1" applyBorder="1"/>
    <xf numFmtId="0" fontId="1" fillId="0" borderId="24" xfId="0" applyFont="1" applyFill="1" applyBorder="1" applyAlignment="1">
      <alignment horizontal="left" vertical="center"/>
    </xf>
    <xf numFmtId="10" fontId="1" fillId="3" borderId="37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1" xfId="0" applyFont="1" applyBorder="1" applyAlignment="1">
      <alignment horizont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0" fontId="1" fillId="0" borderId="27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0" fontId="1" fillId="0" borderId="44" xfId="2" applyNumberFormat="1" applyFont="1" applyBorder="1" applyAlignment="1">
      <alignment horizontal="right"/>
    </xf>
    <xf numFmtId="10" fontId="1" fillId="0" borderId="2" xfId="2" applyNumberFormat="1" applyFont="1" applyBorder="1" applyAlignment="1">
      <alignment horizontal="right"/>
    </xf>
    <xf numFmtId="10" fontId="1" fillId="0" borderId="45" xfId="2" applyNumberFormat="1" applyFont="1" applyBorder="1" applyAlignment="1">
      <alignment horizontal="right"/>
    </xf>
    <xf numFmtId="0" fontId="1" fillId="0" borderId="42" xfId="0" applyFont="1" applyBorder="1"/>
    <xf numFmtId="0" fontId="1" fillId="0" borderId="3" xfId="0" applyFont="1" applyBorder="1" applyAlignment="1">
      <alignment horizontal="center"/>
    </xf>
    <xf numFmtId="0" fontId="1" fillId="0" borderId="43" xfId="0" applyFont="1" applyBorder="1"/>
    <xf numFmtId="10" fontId="1" fillId="0" borderId="16" xfId="2" applyNumberFormat="1" applyFont="1" applyBorder="1" applyAlignment="1">
      <alignment horizontal="right"/>
    </xf>
    <xf numFmtId="10" fontId="1" fillId="0" borderId="17" xfId="2" applyNumberFormat="1" applyFont="1" applyBorder="1" applyAlignment="1">
      <alignment horizontal="right"/>
    </xf>
    <xf numFmtId="10" fontId="1" fillId="0" borderId="18" xfId="2" applyNumberFormat="1" applyFont="1" applyBorder="1" applyAlignment="1">
      <alignment horizontal="right"/>
    </xf>
    <xf numFmtId="0" fontId="30" fillId="4" borderId="20" xfId="0" applyFont="1" applyFill="1" applyBorder="1"/>
    <xf numFmtId="0" fontId="30" fillId="4" borderId="23" xfId="0" applyFont="1" applyFill="1" applyBorder="1"/>
    <xf numFmtId="0" fontId="1" fillId="4" borderId="23" xfId="0" applyFont="1" applyFill="1" applyBorder="1"/>
    <xf numFmtId="0" fontId="1" fillId="4" borderId="20" xfId="0" applyFont="1" applyFill="1" applyBorder="1"/>
    <xf numFmtId="0" fontId="3" fillId="4" borderId="0" xfId="0" applyFont="1" applyFill="1" applyBorder="1" applyAlignment="1">
      <alignment horizontal="center"/>
    </xf>
    <xf numFmtId="0" fontId="30" fillId="4" borderId="21" xfId="0" applyFont="1" applyFill="1" applyBorder="1"/>
    <xf numFmtId="169" fontId="30" fillId="4" borderId="12" xfId="0" applyNumberFormat="1" applyFont="1" applyFill="1" applyBorder="1"/>
    <xf numFmtId="169" fontId="30" fillId="4" borderId="20" xfId="0" applyNumberFormat="1" applyFont="1" applyFill="1" applyBorder="1"/>
    <xf numFmtId="0" fontId="3" fillId="4" borderId="20" xfId="0" applyFont="1" applyFill="1" applyBorder="1"/>
    <xf numFmtId="9" fontId="3" fillId="4" borderId="20" xfId="0" applyNumberFormat="1" applyFont="1" applyFill="1" applyBorder="1"/>
    <xf numFmtId="169" fontId="3" fillId="4" borderId="20" xfId="0" applyNumberFormat="1" applyFont="1" applyFill="1" applyBorder="1"/>
    <xf numFmtId="169" fontId="3" fillId="4" borderId="37" xfId="0" applyNumberFormat="1" applyFont="1" applyFill="1" applyBorder="1"/>
    <xf numFmtId="0" fontId="1" fillId="4" borderId="24" xfId="0" applyFont="1" applyFill="1" applyBorder="1"/>
    <xf numFmtId="0" fontId="1" fillId="4" borderId="37" xfId="0" applyFont="1" applyFill="1" applyBorder="1"/>
    <xf numFmtId="0" fontId="23" fillId="4" borderId="21" xfId="0" applyFont="1" applyFill="1" applyBorder="1"/>
    <xf numFmtId="0" fontId="23" fillId="4" borderId="23" xfId="0" applyFont="1" applyFill="1" applyBorder="1"/>
    <xf numFmtId="0" fontId="23" fillId="4" borderId="24" xfId="0" applyFont="1" applyFill="1" applyBorder="1"/>
    <xf numFmtId="0" fontId="30" fillId="4" borderId="0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left"/>
    </xf>
    <xf numFmtId="0" fontId="30" fillId="4" borderId="12" xfId="0" applyFont="1" applyFill="1" applyBorder="1"/>
    <xf numFmtId="0" fontId="17" fillId="0" borderId="0" xfId="0" applyFont="1" applyFill="1" applyBorder="1" applyAlignment="1">
      <alignment vertical="center"/>
    </xf>
    <xf numFmtId="0" fontId="18" fillId="0" borderId="22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0" fontId="18" fillId="0" borderId="12" xfId="0" applyNumberFormat="1" applyFont="1" applyBorder="1" applyAlignment="1">
      <alignment horizontal="center" vertical="center"/>
    </xf>
    <xf numFmtId="10" fontId="18" fillId="0" borderId="20" xfId="0" applyNumberFormat="1" applyFont="1" applyBorder="1" applyAlignment="1">
      <alignment horizontal="center" vertical="center"/>
    </xf>
    <xf numFmtId="10" fontId="19" fillId="0" borderId="37" xfId="0" applyNumberFormat="1" applyFont="1" applyBorder="1" applyAlignment="1">
      <alignment horizontal="center" vertical="center"/>
    </xf>
    <xf numFmtId="10" fontId="19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/>
    </xf>
    <xf numFmtId="10" fontId="19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9" fontId="1" fillId="7" borderId="24" xfId="2" applyFont="1" applyFill="1" applyBorder="1"/>
    <xf numFmtId="9" fontId="1" fillId="7" borderId="36" xfId="2" applyFont="1" applyFill="1" applyBorder="1" applyAlignment="1">
      <alignment horizontal="center"/>
    </xf>
    <xf numFmtId="9" fontId="1" fillId="7" borderId="37" xfId="2" applyFont="1" applyFill="1" applyBorder="1"/>
    <xf numFmtId="10" fontId="3" fillId="7" borderId="7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 wrapText="1"/>
    </xf>
    <xf numFmtId="0" fontId="29" fillId="7" borderId="16" xfId="0" applyFont="1" applyFill="1" applyBorder="1" applyAlignment="1">
      <alignment horizontal="center" vertical="center"/>
    </xf>
    <xf numFmtId="0" fontId="29" fillId="7" borderId="18" xfId="0" applyFont="1" applyFill="1" applyBorder="1" applyAlignment="1">
      <alignment horizontal="center" vertical="center"/>
    </xf>
    <xf numFmtId="0" fontId="3" fillId="7" borderId="16" xfId="4" applyFont="1" applyFill="1" applyBorder="1" applyAlignment="1">
      <alignment horizontal="center"/>
    </xf>
    <xf numFmtId="0" fontId="3" fillId="7" borderId="17" xfId="4" applyFont="1" applyFill="1" applyBorder="1" applyAlignment="1">
      <alignment horizontal="center"/>
    </xf>
    <xf numFmtId="0" fontId="3" fillId="7" borderId="18" xfId="4" applyFont="1" applyFill="1" applyBorder="1" applyAlignment="1">
      <alignment horizontal="center"/>
    </xf>
    <xf numFmtId="0" fontId="3" fillId="7" borderId="16" xfId="4" applyFont="1" applyFill="1" applyBorder="1"/>
    <xf numFmtId="0" fontId="3" fillId="7" borderId="17" xfId="4" applyFont="1" applyFill="1" applyBorder="1"/>
    <xf numFmtId="0" fontId="3" fillId="7" borderId="18" xfId="4" applyFont="1" applyFill="1" applyBorder="1"/>
    <xf numFmtId="165" fontId="3" fillId="7" borderId="16" xfId="3" applyFont="1" applyFill="1" applyBorder="1" applyAlignment="1">
      <alignment horizontal="center" vertical="center"/>
    </xf>
    <xf numFmtId="165" fontId="3" fillId="7" borderId="17" xfId="3" applyFont="1" applyFill="1" applyBorder="1" applyAlignment="1">
      <alignment horizontal="center" vertical="center"/>
    </xf>
    <xf numFmtId="165" fontId="3" fillId="7" borderId="18" xfId="3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/>
    </xf>
    <xf numFmtId="173" fontId="3" fillId="7" borderId="31" xfId="0" applyNumberFormat="1" applyFont="1" applyFill="1" applyBorder="1" applyAlignment="1">
      <alignment horizontal="center"/>
    </xf>
    <xf numFmtId="171" fontId="1" fillId="7" borderId="37" xfId="4" applyNumberFormat="1" applyFont="1" applyFill="1" applyBorder="1"/>
    <xf numFmtId="0" fontId="19" fillId="7" borderId="17" xfId="0" applyFont="1" applyFill="1" applyBorder="1" applyAlignment="1">
      <alignment horizontal="left" vertical="center"/>
    </xf>
    <xf numFmtId="10" fontId="19" fillId="7" borderId="18" xfId="0" applyNumberFormat="1" applyFont="1" applyFill="1" applyBorder="1" applyAlignment="1">
      <alignment horizontal="center" vertical="center"/>
    </xf>
    <xf numFmtId="165" fontId="3" fillId="7" borderId="17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5" fontId="3" fillId="0" borderId="51" xfId="3" applyFont="1" applyBorder="1" applyAlignment="1">
      <alignment horizontal="center" vertical="center"/>
    </xf>
    <xf numFmtId="165" fontId="0" fillId="0" borderId="52" xfId="3" applyFont="1" applyBorder="1" applyAlignment="1">
      <alignment vertical="center"/>
    </xf>
    <xf numFmtId="165" fontId="3" fillId="0" borderId="52" xfId="3" applyFont="1" applyBorder="1" applyAlignment="1">
      <alignment vertical="center"/>
    </xf>
    <xf numFmtId="165" fontId="3" fillId="0" borderId="53" xfId="3" applyFont="1" applyBorder="1" applyAlignment="1">
      <alignment vertical="center"/>
    </xf>
    <xf numFmtId="165" fontId="3" fillId="0" borderId="45" xfId="3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165" fontId="4" fillId="7" borderId="5" xfId="3" applyFont="1" applyFill="1" applyBorder="1" applyAlignment="1">
      <alignment horizontal="center" vertical="center"/>
    </xf>
    <xf numFmtId="165" fontId="4" fillId="7" borderId="6" xfId="3" applyFont="1" applyFill="1" applyBorder="1" applyAlignment="1">
      <alignment horizontal="center" vertical="center"/>
    </xf>
    <xf numFmtId="165" fontId="4" fillId="7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1" xfId="3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6" fillId="8" borderId="25" xfId="0" applyFont="1" applyFill="1" applyBorder="1" applyAlignment="1">
      <alignment horizontal="center"/>
    </xf>
    <xf numFmtId="0" fontId="26" fillId="8" borderId="2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9" fontId="3" fillId="7" borderId="21" xfId="2" applyFont="1" applyFill="1" applyBorder="1" applyAlignment="1">
      <alignment horizontal="center"/>
    </xf>
    <xf numFmtId="9" fontId="3" fillId="7" borderId="22" xfId="2" applyFont="1" applyFill="1" applyBorder="1" applyAlignment="1">
      <alignment horizontal="center"/>
    </xf>
    <xf numFmtId="9" fontId="3" fillId="7" borderId="12" xfId="2" applyFont="1" applyFill="1" applyBorder="1" applyAlignment="1">
      <alignment horizontal="center"/>
    </xf>
    <xf numFmtId="0" fontId="26" fillId="8" borderId="25" xfId="0" applyFont="1" applyFill="1" applyBorder="1" applyAlignment="1">
      <alignment horizontal="center" vertical="center"/>
    </xf>
    <xf numFmtId="0" fontId="26" fillId="8" borderId="26" xfId="0" applyFont="1" applyFill="1" applyBorder="1" applyAlignment="1">
      <alignment horizontal="center" vertical="center"/>
    </xf>
    <xf numFmtId="0" fontId="26" fillId="8" borderId="27" xfId="0" applyFont="1" applyFill="1" applyBorder="1" applyAlignment="1">
      <alignment horizontal="center" vertical="center"/>
    </xf>
    <xf numFmtId="0" fontId="4" fillId="4" borderId="0" xfId="4" applyFont="1" applyFill="1" applyBorder="1" applyAlignment="1">
      <alignment horizontal="left"/>
    </xf>
    <xf numFmtId="0" fontId="26" fillId="9" borderId="25" xfId="4" applyFont="1" applyFill="1" applyBorder="1" applyAlignment="1">
      <alignment horizontal="center" vertical="center"/>
    </xf>
    <xf numFmtId="0" fontId="26" fillId="9" borderId="26" xfId="4" applyFont="1" applyFill="1" applyBorder="1" applyAlignment="1">
      <alignment horizontal="center" vertical="center"/>
    </xf>
    <xf numFmtId="0" fontId="26" fillId="9" borderId="27" xfId="4" applyFont="1" applyFill="1" applyBorder="1" applyAlignment="1">
      <alignment horizontal="center" vertical="center"/>
    </xf>
    <xf numFmtId="0" fontId="26" fillId="9" borderId="38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165" fontId="6" fillId="4" borderId="0" xfId="3" applyFont="1" applyFill="1" applyAlignment="1">
      <alignment vertical="center"/>
    </xf>
    <xf numFmtId="165" fontId="0" fillId="4" borderId="0" xfId="3" applyFont="1" applyFill="1" applyAlignment="1">
      <alignment vertical="center"/>
    </xf>
    <xf numFmtId="0" fontId="0" fillId="4" borderId="0" xfId="0" applyFill="1" applyAlignment="1">
      <alignment vertical="center"/>
    </xf>
    <xf numFmtId="165" fontId="4" fillId="7" borderId="25" xfId="3" applyFont="1" applyFill="1" applyBorder="1" applyAlignment="1">
      <alignment horizontal="center" vertical="center"/>
    </xf>
    <xf numFmtId="165" fontId="4" fillId="7" borderId="26" xfId="3" applyFont="1" applyFill="1" applyBorder="1" applyAlignment="1">
      <alignment horizontal="center" vertical="center"/>
    </xf>
    <xf numFmtId="165" fontId="4" fillId="7" borderId="27" xfId="3" applyFont="1" applyFill="1" applyBorder="1" applyAlignment="1">
      <alignment horizontal="center" vertical="center"/>
    </xf>
    <xf numFmtId="165" fontId="4" fillId="4" borderId="0" xfId="3" applyFont="1" applyFill="1" applyBorder="1" applyAlignment="1">
      <alignment horizontal="center" vertical="center"/>
    </xf>
    <xf numFmtId="165" fontId="6" fillId="4" borderId="0" xfId="3" applyFont="1" applyFill="1" applyBorder="1" applyAlignment="1">
      <alignment vertical="center"/>
    </xf>
    <xf numFmtId="4" fontId="3" fillId="4" borderId="0" xfId="0" applyNumberFormat="1" applyFont="1" applyFill="1" applyBorder="1" applyAlignment="1">
      <alignment vertical="center"/>
    </xf>
    <xf numFmtId="165" fontId="1" fillId="0" borderId="1" xfId="3" applyFont="1" applyFill="1" applyBorder="1" applyAlignment="1">
      <alignment horizontal="center" vertical="center"/>
    </xf>
    <xf numFmtId="165" fontId="1" fillId="3" borderId="2" xfId="3" applyFont="1" applyFill="1" applyBorder="1" applyAlignment="1">
      <alignment horizontal="center" vertical="center"/>
    </xf>
    <xf numFmtId="165" fontId="1" fillId="0" borderId="2" xfId="3" applyFont="1" applyBorder="1" applyAlignment="1">
      <alignment horizontal="center" vertical="center"/>
    </xf>
    <xf numFmtId="165" fontId="1" fillId="6" borderId="1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1" fillId="0" borderId="0" xfId="3" applyFont="1" applyAlignment="1">
      <alignment horizontal="right" vertical="center"/>
    </xf>
    <xf numFmtId="165" fontId="1" fillId="0" borderId="1" xfId="3" applyFont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166" fontId="1" fillId="0" borderId="1" xfId="3" applyNumberFormat="1" applyFont="1" applyBorder="1" applyAlignment="1">
      <alignment vertical="center"/>
    </xf>
    <xf numFmtId="1" fontId="6" fillId="0" borderId="54" xfId="3" applyNumberFormat="1" applyFont="1" applyBorder="1" applyAlignment="1">
      <alignment horizontal="center" vertical="center"/>
    </xf>
    <xf numFmtId="4" fontId="0" fillId="4" borderId="0" xfId="0" applyNumberForma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165" fontId="3" fillId="0" borderId="17" xfId="3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5" fontId="3" fillId="0" borderId="25" xfId="3" applyFont="1" applyBorder="1" applyAlignment="1">
      <alignment horizontal="center" vertical="center"/>
    </xf>
    <xf numFmtId="165" fontId="3" fillId="0" borderId="26" xfId="3" applyFont="1" applyBorder="1" applyAlignment="1">
      <alignment horizontal="center" vertical="center"/>
    </xf>
    <xf numFmtId="165" fontId="3" fillId="0" borderId="57" xfId="3" applyFont="1" applyBorder="1" applyAlignment="1">
      <alignment horizontal="center" vertical="center"/>
    </xf>
    <xf numFmtId="165" fontId="6" fillId="0" borderId="58" xfId="3" applyFont="1" applyBorder="1" applyAlignment="1">
      <alignment vertical="center"/>
    </xf>
    <xf numFmtId="165" fontId="6" fillId="0" borderId="59" xfId="3" applyFont="1" applyBorder="1" applyAlignment="1">
      <alignment vertical="center"/>
    </xf>
    <xf numFmtId="0" fontId="0" fillId="0" borderId="59" xfId="0" applyBorder="1" applyAlignment="1">
      <alignment vertical="center"/>
    </xf>
    <xf numFmtId="1" fontId="6" fillId="0" borderId="43" xfId="3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" fontId="3" fillId="0" borderId="18" xfId="3" applyNumberFormat="1" applyFont="1" applyBorder="1" applyAlignment="1">
      <alignment horizontal="center" vertical="center"/>
    </xf>
    <xf numFmtId="165" fontId="6" fillId="0" borderId="42" xfId="3" applyFont="1" applyBorder="1" applyAlignment="1">
      <alignment vertical="center"/>
    </xf>
    <xf numFmtId="165" fontId="6" fillId="0" borderId="3" xfId="3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5" fontId="3" fillId="0" borderId="16" xfId="3" applyFont="1" applyBorder="1" applyAlignment="1">
      <alignment vertical="center"/>
    </xf>
    <xf numFmtId="165" fontId="6" fillId="0" borderId="55" xfId="3" applyFont="1" applyBorder="1" applyAlignment="1">
      <alignment vertical="center"/>
    </xf>
    <xf numFmtId="165" fontId="6" fillId="0" borderId="56" xfId="3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9" fontId="3" fillId="4" borderId="0" xfId="2" applyFont="1" applyFill="1" applyBorder="1" applyAlignment="1">
      <alignment vertical="center"/>
    </xf>
  </cellXfs>
  <cellStyles count="6">
    <cellStyle name="Hiperlink" xfId="1" builtinId="8"/>
    <cellStyle name="Normal" xfId="0" builtinId="0"/>
    <cellStyle name="Normal 2" xfId="4"/>
    <cellStyle name="Porcentagem" xfId="2" builtinId="5"/>
    <cellStyle name="Vírgula" xfId="3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28575</xdr:rowOff>
    </xdr:from>
    <xdr:to>
      <xdr:col>0</xdr:col>
      <xdr:colOff>1419225</xdr:colOff>
      <xdr:row>8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9</xdr:row>
      <xdr:rowOff>9525</xdr:rowOff>
    </xdr:from>
    <xdr:to>
      <xdr:col>0</xdr:col>
      <xdr:colOff>2124075</xdr:colOff>
      <xdr:row>11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modelo%20TCE%20Coleta%20v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  <sheetName val="7. Dimensionamento"/>
    </sheetNames>
    <sheetDataSet>
      <sheetData sheetId="0"/>
      <sheetData sheetId="1">
        <row r="34">
          <cell r="C34">
            <v>0.74950000000000006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7"/>
  <sheetViews>
    <sheetView view="pageBreakPreview" topLeftCell="A232" zoomScaleNormal="100" zoomScaleSheetLayoutView="100" workbookViewId="0">
      <selection activeCell="B250" sqref="B250"/>
    </sheetView>
  </sheetViews>
  <sheetFormatPr defaultRowHeight="12.75" x14ac:dyDescent="0.2"/>
  <cols>
    <col min="1" max="1" width="44.5703125" style="8" customWidth="1"/>
    <col min="2" max="2" width="16" style="8" bestFit="1" customWidth="1"/>
    <col min="3" max="3" width="11.85546875" style="8" customWidth="1"/>
    <col min="4" max="4" width="14.7109375" style="9" customWidth="1"/>
    <col min="5" max="5" width="15.42578125" style="9" customWidth="1"/>
    <col min="6" max="6" width="13.28515625" style="9" customWidth="1"/>
    <col min="7" max="7" width="28.140625" style="9" customWidth="1"/>
    <col min="8" max="8" width="9.140625" style="8"/>
    <col min="9" max="9" width="14.5703125" style="8" customWidth="1"/>
    <col min="10" max="10" width="13.42578125" style="8" customWidth="1"/>
    <col min="11" max="16384" width="9.140625" style="8"/>
  </cols>
  <sheetData>
    <row r="1" spans="1:7" s="7" customFormat="1" ht="18" x14ac:dyDescent="0.2">
      <c r="A1" s="408" t="s">
        <v>337</v>
      </c>
      <c r="B1" s="408"/>
      <c r="C1" s="408"/>
      <c r="D1" s="408"/>
      <c r="E1" s="408"/>
      <c r="F1" s="408"/>
      <c r="G1" s="35"/>
    </row>
    <row r="2" spans="1:7" s="7" customFormat="1" ht="18" x14ac:dyDescent="0.2">
      <c r="A2" s="393"/>
      <c r="B2" s="393"/>
      <c r="C2" s="393"/>
      <c r="D2" s="393"/>
      <c r="E2" s="393"/>
      <c r="F2" s="393"/>
      <c r="G2" s="35"/>
    </row>
    <row r="3" spans="1:7" s="7" customFormat="1" ht="18" x14ac:dyDescent="0.2">
      <c r="A3" s="393"/>
      <c r="B3" s="393"/>
      <c r="C3" s="393"/>
      <c r="D3" s="393"/>
      <c r="E3" s="393"/>
      <c r="F3" s="393"/>
      <c r="G3" s="35"/>
    </row>
    <row r="4" spans="1:7" s="7" customFormat="1" ht="18" x14ac:dyDescent="0.2">
      <c r="A4" s="411" t="s">
        <v>216</v>
      </c>
      <c r="B4" s="411"/>
      <c r="C4" s="411"/>
      <c r="D4" s="411"/>
      <c r="E4" s="411"/>
      <c r="F4" s="411"/>
      <c r="G4" s="35"/>
    </row>
    <row r="5" spans="1:7" s="7" customFormat="1" ht="15.75" customHeight="1" x14ac:dyDescent="0.2">
      <c r="A5" s="192"/>
      <c r="B5" s="192"/>
      <c r="C5" s="192"/>
      <c r="D5" s="192"/>
      <c r="E5" s="192"/>
      <c r="F5" s="192"/>
      <c r="G5" s="35"/>
    </row>
    <row r="6" spans="1:7" s="7" customFormat="1" ht="15.75" customHeight="1" x14ac:dyDescent="0.2">
      <c r="A6" s="192"/>
      <c r="B6" s="192"/>
      <c r="C6" s="192"/>
      <c r="D6" s="192"/>
      <c r="E6" s="192"/>
      <c r="F6" s="192"/>
      <c r="G6" s="35"/>
    </row>
    <row r="7" spans="1:7" s="195" customFormat="1" ht="15.75" customHeight="1" x14ac:dyDescent="0.2">
      <c r="A7" s="394" t="s">
        <v>272</v>
      </c>
      <c r="B7" s="193"/>
      <c r="C7" s="193"/>
      <c r="D7" s="193"/>
      <c r="E7" s="193"/>
      <c r="F7" s="193"/>
      <c r="G7" s="194"/>
    </row>
    <row r="8" spans="1:7" s="4" customFormat="1" ht="15.75" customHeight="1" thickBot="1" x14ac:dyDescent="0.25">
      <c r="A8" s="403"/>
      <c r="B8" s="457"/>
      <c r="C8" s="457"/>
      <c r="D8" s="234"/>
      <c r="E8" s="234"/>
      <c r="F8" s="234"/>
      <c r="G8" s="5"/>
    </row>
    <row r="9" spans="1:7" s="4" customFormat="1" ht="15.75" customHeight="1" thickBot="1" x14ac:dyDescent="0.25">
      <c r="A9" s="412" t="s">
        <v>201</v>
      </c>
      <c r="B9" s="413"/>
      <c r="C9" s="413"/>
      <c r="D9" s="413"/>
      <c r="E9" s="413"/>
      <c r="F9" s="414"/>
      <c r="G9" s="5"/>
    </row>
    <row r="10" spans="1:7" s="4" customFormat="1" ht="15.75" customHeight="1" x14ac:dyDescent="0.2">
      <c r="A10" s="63" t="s">
        <v>200</v>
      </c>
      <c r="B10" s="39"/>
      <c r="C10" s="39"/>
      <c r="D10" s="172"/>
      <c r="E10" s="110" t="s">
        <v>36</v>
      </c>
      <c r="F10" s="40" t="s">
        <v>1</v>
      </c>
      <c r="G10" s="5"/>
    </row>
    <row r="11" spans="1:7" s="10" customFormat="1" ht="15.75" customHeight="1" x14ac:dyDescent="0.2">
      <c r="A11" s="119" t="str">
        <f>A47</f>
        <v>1. Mão-de-obra</v>
      </c>
      <c r="B11" s="120"/>
      <c r="C11" s="121"/>
      <c r="D11" s="121"/>
      <c r="E11" s="169">
        <f>+F99</f>
        <v>16274.237213227272</v>
      </c>
      <c r="F11" s="122">
        <f t="shared" ref="F11:F29" si="0">IFERROR(E11/$E$30,0)</f>
        <v>0.41135052161045332</v>
      </c>
      <c r="G11" s="43"/>
    </row>
    <row r="12" spans="1:7" s="4" customFormat="1" ht="15.75" customHeight="1" x14ac:dyDescent="0.2">
      <c r="A12" s="48" t="str">
        <f>A49</f>
        <v>1.1. Coletor Turno Dia</v>
      </c>
      <c r="B12" s="44"/>
      <c r="C12" s="46"/>
      <c r="D12" s="46"/>
      <c r="E12" s="170">
        <f>F58</f>
        <v>9688.3501688399992</v>
      </c>
      <c r="F12" s="57">
        <f t="shared" si="0"/>
        <v>0.244884466367364</v>
      </c>
      <c r="G12" s="5"/>
    </row>
    <row r="13" spans="1:7" s="4" customFormat="1" ht="15.75" customHeight="1" x14ac:dyDescent="0.2">
      <c r="A13" s="48" t="str">
        <f>A60</f>
        <v>1.2. Motorista Turno do Dia</v>
      </c>
      <c r="B13" s="44"/>
      <c r="C13" s="46"/>
      <c r="D13" s="46"/>
      <c r="E13" s="170">
        <f>F71</f>
        <v>3844.4098443872726</v>
      </c>
      <c r="F13" s="57">
        <f t="shared" si="0"/>
        <v>9.7171988711565904E-2</v>
      </c>
      <c r="G13" s="5"/>
    </row>
    <row r="14" spans="1:7" s="4" customFormat="1" ht="15.75" customHeight="1" x14ac:dyDescent="0.2">
      <c r="A14" s="48" t="str">
        <f>A73</f>
        <v>1.3. Vale Transporte</v>
      </c>
      <c r="B14" s="44"/>
      <c r="C14" s="46"/>
      <c r="D14" s="46"/>
      <c r="E14" s="170">
        <f>F79</f>
        <v>294.73720000000003</v>
      </c>
      <c r="F14" s="57">
        <f t="shared" si="0"/>
        <v>7.4498300208788639E-3</v>
      </c>
      <c r="G14" s="5"/>
    </row>
    <row r="15" spans="1:7" s="4" customFormat="1" ht="15.75" customHeight="1" x14ac:dyDescent="0.2">
      <c r="A15" s="48" t="str">
        <f>A81</f>
        <v>1.4. Vale-refeição (diário)</v>
      </c>
      <c r="B15" s="44"/>
      <c r="C15" s="46"/>
      <c r="D15" s="46"/>
      <c r="E15" s="170">
        <f>F85</f>
        <v>1531.92</v>
      </c>
      <c r="F15" s="57">
        <f t="shared" si="0"/>
        <v>3.8721083071918815E-2</v>
      </c>
      <c r="G15" s="5"/>
    </row>
    <row r="16" spans="1:7" s="4" customFormat="1" ht="15.75" customHeight="1" x14ac:dyDescent="0.2">
      <c r="A16" s="48" t="str">
        <f>A87</f>
        <v>1.5. Auxílio-lanche (diário)</v>
      </c>
      <c r="B16" s="44"/>
      <c r="C16" s="46"/>
      <c r="D16" s="46"/>
      <c r="E16" s="170">
        <f>F91</f>
        <v>832</v>
      </c>
      <c r="F16" s="57">
        <f t="shared" si="0"/>
        <v>2.1029780351347623E-2</v>
      </c>
      <c r="G16" s="5"/>
    </row>
    <row r="17" spans="1:7" s="4" customFormat="1" ht="15.75" customHeight="1" x14ac:dyDescent="0.2">
      <c r="A17" s="48" t="str">
        <f>A93</f>
        <v>1.6. Auxílio Alimentação (mensal)</v>
      </c>
      <c r="B17" s="44"/>
      <c r="C17" s="46"/>
      <c r="D17" s="46"/>
      <c r="E17" s="170">
        <f>F97</f>
        <v>82.82</v>
      </c>
      <c r="F17" s="57">
        <f t="shared" si="0"/>
        <v>2.0933730873781368E-3</v>
      </c>
      <c r="G17" s="5"/>
    </row>
    <row r="18" spans="1:7" s="10" customFormat="1" ht="15.75" customHeight="1" x14ac:dyDescent="0.2">
      <c r="A18" s="415" t="str">
        <f>A102</f>
        <v>2. Uniformes e Equipamentos de Proteção Individual</v>
      </c>
      <c r="B18" s="416"/>
      <c r="C18" s="416"/>
      <c r="D18" s="121"/>
      <c r="E18" s="169">
        <f>+F131</f>
        <v>744.5278571428571</v>
      </c>
      <c r="F18" s="122">
        <f t="shared" si="0"/>
        <v>1.8818818871603131E-2</v>
      </c>
      <c r="G18" s="43"/>
    </row>
    <row r="19" spans="1:7" s="10" customFormat="1" ht="15.75" customHeight="1" x14ac:dyDescent="0.2">
      <c r="A19" s="191" t="str">
        <f>A134</f>
        <v>3. Veículos e Equipamentos</v>
      </c>
      <c r="B19" s="129"/>
      <c r="C19" s="121"/>
      <c r="D19" s="121"/>
      <c r="E19" s="169">
        <f>+F209</f>
        <v>14075.556991136364</v>
      </c>
      <c r="F19" s="122">
        <f t="shared" si="0"/>
        <v>0.35577628827701102</v>
      </c>
      <c r="G19" s="43"/>
    </row>
    <row r="20" spans="1:7" s="4" customFormat="1" ht="15.75" customHeight="1" x14ac:dyDescent="0.2">
      <c r="A20" s="64" t="str">
        <f>A136</f>
        <v>3.1. Veículo Coletor Compactador - Truck 15 m³</v>
      </c>
      <c r="B20" s="45"/>
      <c r="C20" s="46"/>
      <c r="D20" s="46"/>
      <c r="E20" s="170">
        <f>SUM(E21:E26)</f>
        <v>14075.556991136364</v>
      </c>
      <c r="F20" s="133">
        <f t="shared" si="0"/>
        <v>0.35577628827701102</v>
      </c>
      <c r="G20" s="5"/>
    </row>
    <row r="21" spans="1:7" s="4" customFormat="1" ht="15.75" customHeight="1" x14ac:dyDescent="0.2">
      <c r="A21" s="64" t="str">
        <f>A138</f>
        <v>3.1.1. Depreciação</v>
      </c>
      <c r="B21" s="45"/>
      <c r="C21" s="46"/>
      <c r="D21" s="46"/>
      <c r="E21" s="170">
        <f>F152</f>
        <v>2008.6303333333335</v>
      </c>
      <c r="F21" s="133">
        <f t="shared" si="0"/>
        <v>5.077049845799779E-2</v>
      </c>
      <c r="G21" s="5"/>
    </row>
    <row r="22" spans="1:7" s="4" customFormat="1" ht="15.75" customHeight="1" x14ac:dyDescent="0.2">
      <c r="A22" s="64" t="str">
        <f>A154</f>
        <v>3.1.2. Remuneração do Capital</v>
      </c>
      <c r="B22" s="45"/>
      <c r="C22" s="46"/>
      <c r="D22" s="46"/>
      <c r="E22" s="170">
        <f>F168</f>
        <v>1415.5589608333332</v>
      </c>
      <c r="F22" s="133">
        <f t="shared" si="0"/>
        <v>3.5779920697965012E-2</v>
      </c>
      <c r="G22" s="5"/>
    </row>
    <row r="23" spans="1:7" s="4" customFormat="1" ht="15.75" customHeight="1" x14ac:dyDescent="0.2">
      <c r="A23" s="64" t="str">
        <f>A170</f>
        <v>3.1.3. Impostos e Seguros</v>
      </c>
      <c r="B23" s="45"/>
      <c r="C23" s="46"/>
      <c r="D23" s="46"/>
      <c r="E23" s="170">
        <f>F176</f>
        <v>391.58333333333331</v>
      </c>
      <c r="F23" s="133">
        <f t="shared" si="0"/>
        <v>9.8977301553468018E-3</v>
      </c>
      <c r="G23" s="5"/>
    </row>
    <row r="24" spans="1:7" s="4" customFormat="1" ht="15.75" customHeight="1" x14ac:dyDescent="0.2">
      <c r="A24" s="64" t="str">
        <f>A178</f>
        <v>3.1.4. Consumos</v>
      </c>
      <c r="B24" s="45"/>
      <c r="C24" s="46"/>
      <c r="D24" s="46"/>
      <c r="E24" s="170">
        <f>F193</f>
        <v>6522.7176969696966</v>
      </c>
      <c r="F24" s="133">
        <f t="shared" si="0"/>
        <v>0.16486937555423167</v>
      </c>
      <c r="G24" s="5"/>
    </row>
    <row r="25" spans="1:7" s="4" customFormat="1" ht="15.75" customHeight="1" x14ac:dyDescent="0.2">
      <c r="A25" s="64" t="str">
        <f>A195</f>
        <v>3.1.5. Manutenção</v>
      </c>
      <c r="B25" s="45"/>
      <c r="C25" s="46"/>
      <c r="D25" s="46"/>
      <c r="E25" s="170">
        <f>F198</f>
        <v>2565.3333333333335</v>
      </c>
      <c r="F25" s="133">
        <f t="shared" si="0"/>
        <v>6.4841822749988509E-2</v>
      </c>
      <c r="G25" s="5"/>
    </row>
    <row r="26" spans="1:7" s="4" customFormat="1" ht="15.75" customHeight="1" x14ac:dyDescent="0.2">
      <c r="A26" s="64" t="str">
        <f>A200</f>
        <v>3.1.6. Pneus</v>
      </c>
      <c r="B26" s="45"/>
      <c r="C26" s="46"/>
      <c r="D26" s="46"/>
      <c r="E26" s="170">
        <f>F207</f>
        <v>1171.7333333333336</v>
      </c>
      <c r="F26" s="133">
        <f t="shared" si="0"/>
        <v>2.9616940661481243E-2</v>
      </c>
      <c r="G26" s="5"/>
    </row>
    <row r="27" spans="1:7" s="10" customFormat="1" ht="15.75" customHeight="1" x14ac:dyDescent="0.2">
      <c r="A27" s="191" t="str">
        <f>A212</f>
        <v>4. Ferramentas e Materiais de Consumo</v>
      </c>
      <c r="B27" s="129"/>
      <c r="C27" s="121"/>
      <c r="D27" s="121"/>
      <c r="E27" s="169">
        <f>+F222</f>
        <v>58.183333333333323</v>
      </c>
      <c r="F27" s="122">
        <f t="shared" si="0"/>
        <v>1.4706523078236084E-3</v>
      </c>
      <c r="G27" s="43"/>
    </row>
    <row r="28" spans="1:7" s="10" customFormat="1" ht="15.75" customHeight="1" x14ac:dyDescent="0.2">
      <c r="A28" s="191" t="str">
        <f>A225</f>
        <v>5. Monitoramento da Frota</v>
      </c>
      <c r="B28" s="129"/>
      <c r="C28" s="121"/>
      <c r="D28" s="121"/>
      <c r="E28" s="169">
        <f>+F234</f>
        <v>80.575000000000003</v>
      </c>
      <c r="F28" s="122">
        <f t="shared" si="0"/>
        <v>2.0366280670791282E-3</v>
      </c>
      <c r="G28" s="43"/>
    </row>
    <row r="29" spans="1:7" s="10" customFormat="1" ht="15.75" customHeight="1" thickBot="1" x14ac:dyDescent="0.25">
      <c r="A29" s="191" t="str">
        <f>A240</f>
        <v>6. Benefícios e Despesas Indiretas - BDI</v>
      </c>
      <c r="B29" s="129"/>
      <c r="C29" s="121"/>
      <c r="D29" s="121"/>
      <c r="E29" s="171">
        <f>+F246</f>
        <v>8329.8625413037807</v>
      </c>
      <c r="F29" s="122">
        <f t="shared" si="0"/>
        <v>0.21054709086602982</v>
      </c>
      <c r="G29" s="43"/>
    </row>
    <row r="30" spans="1:7" s="4" customFormat="1" ht="15.75" customHeight="1" thickBot="1" x14ac:dyDescent="0.25">
      <c r="A30" s="41" t="s">
        <v>234</v>
      </c>
      <c r="B30" s="42"/>
      <c r="C30" s="25"/>
      <c r="D30" s="25"/>
      <c r="E30" s="109">
        <f>E11+E18+E19+E27+E28+E29</f>
        <v>39562.942936143605</v>
      </c>
      <c r="F30" s="132">
        <f>F11+F18+F19+F27+F28+F29</f>
        <v>1</v>
      </c>
      <c r="G30" s="5"/>
    </row>
    <row r="32" spans="1:7" ht="13.5" thickBot="1" x14ac:dyDescent="0.25"/>
    <row r="33" spans="1:7" s="4" customFormat="1" ht="15" customHeight="1" x14ac:dyDescent="0.2">
      <c r="A33" s="441" t="s">
        <v>95</v>
      </c>
      <c r="B33" s="442"/>
      <c r="C33" s="442"/>
      <c r="D33" s="442"/>
      <c r="E33" s="443"/>
      <c r="F33" s="9"/>
      <c r="G33" s="5"/>
    </row>
    <row r="34" spans="1:7" s="403" customFormat="1" ht="15" customHeight="1" thickBot="1" x14ac:dyDescent="0.25">
      <c r="A34" s="444"/>
      <c r="B34" s="444"/>
      <c r="C34" s="444"/>
      <c r="D34" s="444"/>
      <c r="E34" s="444"/>
      <c r="F34" s="445"/>
      <c r="G34" s="234"/>
    </row>
    <row r="35" spans="1:7" s="4" customFormat="1" ht="15" customHeight="1" thickBot="1" x14ac:dyDescent="0.25">
      <c r="A35" s="417" t="s">
        <v>37</v>
      </c>
      <c r="B35" s="418"/>
      <c r="C35" s="418"/>
      <c r="D35" s="419"/>
      <c r="E35" s="47" t="s">
        <v>38</v>
      </c>
      <c r="F35" s="9"/>
      <c r="G35" s="5"/>
    </row>
    <row r="36" spans="1:7" s="4" customFormat="1" ht="15" customHeight="1" x14ac:dyDescent="0.2">
      <c r="A36" s="72" t="str">
        <f>+A49</f>
        <v>1.1. Coletor Turno Dia</v>
      </c>
      <c r="B36" s="73"/>
      <c r="C36" s="73"/>
      <c r="D36" s="74"/>
      <c r="E36" s="75">
        <f>C57</f>
        <v>3</v>
      </c>
      <c r="F36" s="9"/>
      <c r="G36" s="5"/>
    </row>
    <row r="37" spans="1:7" s="4" customFormat="1" ht="15" customHeight="1" x14ac:dyDescent="0.2">
      <c r="A37" s="66" t="str">
        <f>+A60</f>
        <v>1.2. Motorista Turno do Dia</v>
      </c>
      <c r="B37" s="65"/>
      <c r="C37" s="65"/>
      <c r="D37" s="76"/>
      <c r="E37" s="69">
        <f>C70</f>
        <v>1</v>
      </c>
      <c r="F37" s="9"/>
      <c r="G37" s="5"/>
    </row>
    <row r="38" spans="1:7" s="4" customFormat="1" ht="15" customHeight="1" thickBot="1" x14ac:dyDescent="0.25">
      <c r="A38" s="70" t="s">
        <v>56</v>
      </c>
      <c r="B38" s="71"/>
      <c r="C38" s="71"/>
      <c r="D38" s="77"/>
      <c r="E38" s="78">
        <f>SUM(E36:E37)</f>
        <v>4</v>
      </c>
      <c r="F38" s="9"/>
      <c r="G38" s="5"/>
    </row>
    <row r="39" spans="1:7" s="403" customFormat="1" ht="15" customHeight="1" thickBot="1" x14ac:dyDescent="0.25">
      <c r="A39" s="199"/>
      <c r="B39" s="446"/>
      <c r="C39" s="445"/>
      <c r="D39" s="445"/>
      <c r="E39" s="445"/>
      <c r="F39" s="445"/>
      <c r="G39" s="234"/>
    </row>
    <row r="40" spans="1:7" s="4" customFormat="1" ht="15" customHeight="1" x14ac:dyDescent="0.2">
      <c r="A40" s="409" t="s">
        <v>53</v>
      </c>
      <c r="B40" s="410"/>
      <c r="C40" s="410"/>
      <c r="D40" s="410"/>
      <c r="E40" s="47" t="s">
        <v>38</v>
      </c>
      <c r="F40" s="8"/>
      <c r="G40" s="5"/>
    </row>
    <row r="41" spans="1:7" s="4" customFormat="1" ht="15" customHeight="1" thickBot="1" x14ac:dyDescent="0.25">
      <c r="A41" s="124" t="str">
        <f>+A136</f>
        <v>3.1. Veículo Coletor Compactador - Truck 15 m³</v>
      </c>
      <c r="B41" s="125"/>
      <c r="C41" s="125"/>
      <c r="D41" s="126"/>
      <c r="E41" s="127">
        <f>C151</f>
        <v>1</v>
      </c>
      <c r="F41" s="8"/>
      <c r="G41" s="5"/>
    </row>
    <row r="42" spans="1:7" s="4" customFormat="1" ht="15" customHeight="1" x14ac:dyDescent="0.2">
      <c r="A42" s="58"/>
      <c r="B42" s="58"/>
      <c r="C42" s="58"/>
      <c r="D42" s="53"/>
      <c r="E42" s="162"/>
      <c r="F42" s="8"/>
      <c r="G42" s="5"/>
    </row>
    <row r="43" spans="1:7" s="4" customFormat="1" ht="13.5" thickBot="1" x14ac:dyDescent="0.25">
      <c r="A43" s="58"/>
      <c r="B43" s="58"/>
      <c r="C43" s="58"/>
      <c r="D43" s="53"/>
      <c r="E43" s="67"/>
      <c r="F43" s="8"/>
      <c r="G43" s="5"/>
    </row>
    <row r="44" spans="1:7" s="10" customFormat="1" ht="15.75" customHeight="1" thickBot="1" x14ac:dyDescent="0.25">
      <c r="A44" s="173" t="s">
        <v>195</v>
      </c>
      <c r="B44" s="174">
        <v>1</v>
      </c>
      <c r="C44" s="34"/>
      <c r="D44" s="33"/>
      <c r="E44" s="141"/>
      <c r="G44" s="43"/>
    </row>
    <row r="45" spans="1:7" s="10" customFormat="1" ht="15.75" customHeight="1" x14ac:dyDescent="0.2">
      <c r="A45" s="203"/>
      <c r="B45" s="479"/>
      <c r="C45" s="203"/>
      <c r="D45" s="33"/>
      <c r="E45" s="141"/>
      <c r="G45" s="43"/>
    </row>
    <row r="46" spans="1:7" s="4" customFormat="1" ht="15.75" customHeight="1" x14ac:dyDescent="0.2">
      <c r="A46" s="58"/>
      <c r="B46" s="58"/>
      <c r="C46" s="58"/>
      <c r="D46" s="53"/>
      <c r="E46" s="67"/>
      <c r="F46" s="8"/>
      <c r="G46" s="5"/>
    </row>
    <row r="47" spans="1:7" ht="13.5" customHeight="1" x14ac:dyDescent="0.2">
      <c r="A47" s="10" t="s">
        <v>44</v>
      </c>
    </row>
    <row r="48" spans="1:7" ht="13.5" customHeight="1" x14ac:dyDescent="0.2"/>
    <row r="49" spans="1:7" ht="13.5" customHeight="1" thickBot="1" x14ac:dyDescent="0.25">
      <c r="A49" s="8" t="s">
        <v>96</v>
      </c>
    </row>
    <row r="50" spans="1:7" ht="13.5" customHeight="1" thickBot="1" x14ac:dyDescent="0.25">
      <c r="A50" s="59" t="s">
        <v>61</v>
      </c>
      <c r="B50" s="60" t="s">
        <v>62</v>
      </c>
      <c r="C50" s="60" t="s">
        <v>38</v>
      </c>
      <c r="D50" s="61" t="s">
        <v>230</v>
      </c>
      <c r="E50" s="61" t="s">
        <v>63</v>
      </c>
      <c r="F50" s="62" t="s">
        <v>64</v>
      </c>
    </row>
    <row r="51" spans="1:7" s="404" customFormat="1" ht="13.5" customHeight="1" x14ac:dyDescent="0.2">
      <c r="A51" s="198" t="s">
        <v>210</v>
      </c>
      <c r="B51" s="221" t="s">
        <v>6</v>
      </c>
      <c r="C51" s="221">
        <v>1</v>
      </c>
      <c r="D51" s="448">
        <v>1221.8800000000001</v>
      </c>
      <c r="E51" s="449">
        <f>C51*D51</f>
        <v>1221.8800000000001</v>
      </c>
      <c r="F51" s="201"/>
      <c r="G51" s="201"/>
    </row>
    <row r="52" spans="1:7" s="404" customFormat="1" ht="13.5" customHeight="1" x14ac:dyDescent="0.2">
      <c r="A52" s="405" t="s">
        <v>338</v>
      </c>
      <c r="B52" s="406" t="s">
        <v>339</v>
      </c>
      <c r="C52" s="407">
        <v>8.6999999999999993</v>
      </c>
      <c r="D52" s="228">
        <f>D51/220*2</f>
        <v>11.108000000000001</v>
      </c>
      <c r="E52" s="228">
        <f>C52*D52</f>
        <v>96.639600000000002</v>
      </c>
      <c r="F52" s="201"/>
      <c r="G52" s="201" t="s">
        <v>340</v>
      </c>
    </row>
    <row r="53" spans="1:7" s="404" customFormat="1" ht="13.5" customHeight="1" x14ac:dyDescent="0.2">
      <c r="A53" s="405" t="s">
        <v>0</v>
      </c>
      <c r="B53" s="406" t="s">
        <v>1</v>
      </c>
      <c r="C53" s="406">
        <v>40</v>
      </c>
      <c r="D53" s="447">
        <f>SUM(E51:E52)</f>
        <v>1318.5196000000001</v>
      </c>
      <c r="E53" s="228">
        <f>C53*D53/100</f>
        <v>527.40783999999996</v>
      </c>
      <c r="F53" s="201"/>
      <c r="G53" s="201"/>
    </row>
    <row r="54" spans="1:7" s="404" customFormat="1" ht="13.5" customHeight="1" x14ac:dyDescent="0.2">
      <c r="A54" s="111" t="s">
        <v>2</v>
      </c>
      <c r="B54" s="112"/>
      <c r="C54" s="112"/>
      <c r="D54" s="211"/>
      <c r="E54" s="212">
        <f>SUM(E51:E53)</f>
        <v>1845.9274399999999</v>
      </c>
      <c r="F54" s="201"/>
      <c r="G54" s="201"/>
    </row>
    <row r="55" spans="1:7" s="404" customFormat="1" ht="13.5" customHeight="1" x14ac:dyDescent="0.2">
      <c r="A55" s="405" t="s">
        <v>3</v>
      </c>
      <c r="B55" s="406" t="s">
        <v>1</v>
      </c>
      <c r="C55" s="450">
        <f>'[1]2.Encargos Sociais'!$C$34*100</f>
        <v>74.95</v>
      </c>
      <c r="D55" s="228">
        <f>E54</f>
        <v>1845.9274399999999</v>
      </c>
      <c r="E55" s="228">
        <f>D55*C55/100</f>
        <v>1383.52261628</v>
      </c>
      <c r="F55" s="201"/>
      <c r="G55" s="201"/>
    </row>
    <row r="56" spans="1:7" s="404" customFormat="1" ht="13.5" customHeight="1" x14ac:dyDescent="0.2">
      <c r="A56" s="111" t="s">
        <v>71</v>
      </c>
      <c r="B56" s="112"/>
      <c r="C56" s="112"/>
      <c r="D56" s="211"/>
      <c r="E56" s="212">
        <f>E54+E55</f>
        <v>3229.4500562799999</v>
      </c>
      <c r="F56" s="201"/>
      <c r="G56" s="201"/>
    </row>
    <row r="57" spans="1:7" s="404" customFormat="1" ht="13.5" customHeight="1" thickBot="1" x14ac:dyDescent="0.25">
      <c r="A57" s="405" t="s">
        <v>4</v>
      </c>
      <c r="B57" s="406" t="s">
        <v>5</v>
      </c>
      <c r="C57" s="451">
        <v>3</v>
      </c>
      <c r="D57" s="228">
        <f>E56</f>
        <v>3229.4500562799999</v>
      </c>
      <c r="E57" s="228">
        <f>C57*D57</f>
        <v>9688.3501688399992</v>
      </c>
      <c r="F57" s="201"/>
      <c r="G57" s="5"/>
    </row>
    <row r="58" spans="1:7" ht="13.5" customHeight="1" thickBot="1" x14ac:dyDescent="0.25">
      <c r="D58" s="117" t="s">
        <v>194</v>
      </c>
      <c r="E58" s="49">
        <f>$B$44</f>
        <v>1</v>
      </c>
      <c r="F58" s="118">
        <f>E57*E58</f>
        <v>9688.3501688399992</v>
      </c>
    </row>
    <row r="59" spans="1:7" ht="13.5" customHeight="1" x14ac:dyDescent="0.2"/>
    <row r="60" spans="1:7" s="11" customFormat="1" ht="13.5" customHeight="1" thickBot="1" x14ac:dyDescent="0.25">
      <c r="A60" s="6" t="s">
        <v>276</v>
      </c>
      <c r="B60" s="8"/>
      <c r="C60" s="8"/>
      <c r="D60" s="9"/>
      <c r="E60" s="9"/>
      <c r="F60" s="9"/>
      <c r="G60" s="9"/>
    </row>
    <row r="61" spans="1:7" ht="13.5" customHeight="1" thickBot="1" x14ac:dyDescent="0.25">
      <c r="A61" s="59" t="s">
        <v>61</v>
      </c>
      <c r="B61" s="60" t="s">
        <v>62</v>
      </c>
      <c r="C61" s="60" t="s">
        <v>38</v>
      </c>
      <c r="D61" s="61" t="s">
        <v>230</v>
      </c>
      <c r="E61" s="61" t="s">
        <v>63</v>
      </c>
      <c r="F61" s="62" t="s">
        <v>64</v>
      </c>
    </row>
    <row r="62" spans="1:7" ht="13.5" customHeight="1" x14ac:dyDescent="0.2">
      <c r="A62" s="198" t="s">
        <v>212</v>
      </c>
      <c r="B62" s="221" t="s">
        <v>6</v>
      </c>
      <c r="C62" s="221">
        <v>1</v>
      </c>
      <c r="D62" s="448">
        <v>1648.74</v>
      </c>
      <c r="E62" s="449">
        <f>C62*D62</f>
        <v>1648.74</v>
      </c>
      <c r="F62" s="201"/>
    </row>
    <row r="63" spans="1:7" s="404" customFormat="1" ht="13.5" customHeight="1" x14ac:dyDescent="0.2">
      <c r="A63" s="198" t="s">
        <v>213</v>
      </c>
      <c r="B63" s="221" t="s">
        <v>6</v>
      </c>
      <c r="C63" s="221">
        <v>1</v>
      </c>
      <c r="D63" s="448">
        <v>954</v>
      </c>
      <c r="E63" s="449"/>
      <c r="F63" s="201"/>
      <c r="G63" s="201" t="s">
        <v>340</v>
      </c>
    </row>
    <row r="64" spans="1:7" ht="13.5" customHeight="1" x14ac:dyDescent="0.2">
      <c r="A64" s="405" t="s">
        <v>338</v>
      </c>
      <c r="B64" s="406" t="s">
        <v>339</v>
      </c>
      <c r="C64" s="407">
        <v>8.6999999999999993</v>
      </c>
      <c r="D64" s="228">
        <f>D62/220*2</f>
        <v>14.988545454545454</v>
      </c>
      <c r="E64" s="228">
        <f>C64*D64</f>
        <v>130.40034545454543</v>
      </c>
      <c r="F64" s="201"/>
    </row>
    <row r="65" spans="1:7" ht="13.5" customHeight="1" x14ac:dyDescent="0.2">
      <c r="A65" s="405" t="s">
        <v>211</v>
      </c>
      <c r="B65" s="406"/>
      <c r="C65" s="454">
        <v>1</v>
      </c>
      <c r="D65" s="228"/>
      <c r="E65" s="228"/>
      <c r="F65" s="201"/>
    </row>
    <row r="66" spans="1:7" s="10" customFormat="1" ht="13.5" customHeight="1" x14ac:dyDescent="0.2">
      <c r="A66" s="405" t="s">
        <v>0</v>
      </c>
      <c r="B66" s="406" t="s">
        <v>1</v>
      </c>
      <c r="C66" s="451">
        <v>40</v>
      </c>
      <c r="D66" s="447">
        <f>IF(C65=2,SUM(E62:E64),IF(C65=1,(SUM(E62:E64))*D63/D62,0))</f>
        <v>1029.4527272727273</v>
      </c>
      <c r="E66" s="228">
        <f>C66*D66/100</f>
        <v>411.78109090909095</v>
      </c>
      <c r="F66" s="201"/>
      <c r="G66" s="43"/>
    </row>
    <row r="67" spans="1:7" ht="13.5" customHeight="1" x14ac:dyDescent="0.2">
      <c r="A67" s="100" t="s">
        <v>2</v>
      </c>
      <c r="B67" s="112"/>
      <c r="C67" s="112"/>
      <c r="D67" s="211"/>
      <c r="E67" s="208">
        <f>SUM(E62:E66)</f>
        <v>2190.9214363636365</v>
      </c>
      <c r="F67" s="43"/>
    </row>
    <row r="68" spans="1:7" s="10" customFormat="1" ht="13.5" customHeight="1" x14ac:dyDescent="0.2">
      <c r="A68" s="405" t="s">
        <v>3</v>
      </c>
      <c r="B68" s="406" t="s">
        <v>1</v>
      </c>
      <c r="C68" s="130">
        <f>'2.Encargos Sociais'!$C$35*100</f>
        <v>75.47</v>
      </c>
      <c r="D68" s="228">
        <f>E67</f>
        <v>2190.9214363636365</v>
      </c>
      <c r="E68" s="228">
        <f>D68*C68/100</f>
        <v>1653.4884080236363</v>
      </c>
      <c r="F68" s="201"/>
      <c r="G68" s="43"/>
    </row>
    <row r="69" spans="1:7" ht="13.5" customHeight="1" x14ac:dyDescent="0.2">
      <c r="A69" s="100" t="s">
        <v>242</v>
      </c>
      <c r="B69" s="175"/>
      <c r="C69" s="175"/>
      <c r="D69" s="176"/>
      <c r="E69" s="208">
        <f>E67+E68</f>
        <v>3844.4098443872726</v>
      </c>
      <c r="F69" s="43"/>
    </row>
    <row r="70" spans="1:7" ht="13.5" customHeight="1" thickBot="1" x14ac:dyDescent="0.25">
      <c r="A70" s="405" t="s">
        <v>4</v>
      </c>
      <c r="B70" s="406" t="s">
        <v>5</v>
      </c>
      <c r="C70" s="451">
        <v>1</v>
      </c>
      <c r="D70" s="228">
        <f>E69</f>
        <v>3844.4098443872726</v>
      </c>
      <c r="E70" s="228">
        <f>C70*D70</f>
        <v>3844.4098443872726</v>
      </c>
      <c r="F70" s="201"/>
    </row>
    <row r="71" spans="1:7" ht="13.5" customHeight="1" thickBot="1" x14ac:dyDescent="0.25">
      <c r="D71" s="117" t="s">
        <v>194</v>
      </c>
      <c r="E71" s="49">
        <f>$B$44</f>
        <v>1</v>
      </c>
      <c r="F71" s="118">
        <f>E70*E71</f>
        <v>3844.4098443872726</v>
      </c>
    </row>
    <row r="72" spans="1:7" ht="13.5" customHeight="1" x14ac:dyDescent="0.2">
      <c r="G72" s="8"/>
    </row>
    <row r="73" spans="1:7" ht="13.5" customHeight="1" thickBot="1" x14ac:dyDescent="0.25">
      <c r="A73" s="6" t="s">
        <v>277</v>
      </c>
      <c r="B73" s="90"/>
      <c r="D73" s="8"/>
      <c r="E73" s="8"/>
      <c r="G73" s="8"/>
    </row>
    <row r="74" spans="1:7" ht="13.5" customHeight="1" thickBot="1" x14ac:dyDescent="0.25">
      <c r="A74" s="59" t="s">
        <v>61</v>
      </c>
      <c r="B74" s="60" t="s">
        <v>62</v>
      </c>
      <c r="C74" s="60" t="s">
        <v>38</v>
      </c>
      <c r="D74" s="61" t="s">
        <v>230</v>
      </c>
      <c r="E74" s="61" t="s">
        <v>63</v>
      </c>
      <c r="F74" s="62" t="s">
        <v>64</v>
      </c>
      <c r="G74" s="8"/>
    </row>
    <row r="75" spans="1:7" ht="13.5" customHeight="1" x14ac:dyDescent="0.2">
      <c r="A75" s="15" t="s">
        <v>90</v>
      </c>
      <c r="B75" s="16" t="s">
        <v>33</v>
      </c>
      <c r="C75" s="91">
        <v>1</v>
      </c>
      <c r="D75" s="89">
        <v>2.95</v>
      </c>
      <c r="E75" s="17"/>
      <c r="G75" s="8"/>
    </row>
    <row r="76" spans="1:7" ht="13.5" customHeight="1" x14ac:dyDescent="0.2">
      <c r="A76" s="15" t="s">
        <v>91</v>
      </c>
      <c r="B76" s="16" t="s">
        <v>92</v>
      </c>
      <c r="C76" s="88">
        <v>26</v>
      </c>
      <c r="D76" s="17"/>
      <c r="E76" s="17"/>
      <c r="G76" s="8"/>
    </row>
    <row r="77" spans="1:7" ht="13.5" customHeight="1" x14ac:dyDescent="0.2">
      <c r="A77" s="15" t="s">
        <v>72</v>
      </c>
      <c r="B77" s="16" t="s">
        <v>7</v>
      </c>
      <c r="C77" s="36">
        <f>$C$76*2*(C57)</f>
        <v>156</v>
      </c>
      <c r="D77" s="14">
        <f>IFERROR((($C$76*2*$D$75)-(E51*0.06))/($C$76*2),"-")</f>
        <v>1.5401384615384615</v>
      </c>
      <c r="E77" s="17">
        <f>IFERROR(C77*D77,"-")</f>
        <v>240.26159999999999</v>
      </c>
      <c r="G77" s="8"/>
    </row>
    <row r="78" spans="1:7" ht="13.5" customHeight="1" thickBot="1" x14ac:dyDescent="0.25">
      <c r="A78" s="12" t="s">
        <v>41</v>
      </c>
      <c r="B78" s="13" t="s">
        <v>7</v>
      </c>
      <c r="C78" s="36">
        <f>$C$76*2*(C70)</f>
        <v>52</v>
      </c>
      <c r="D78" s="14">
        <f>IFERROR((($C$76*2*$D$75)-(E62*0.06))/($C$76*2),"-")</f>
        <v>1.0476076923076927</v>
      </c>
      <c r="E78" s="14">
        <f>IFERROR(C78*D78,"-")</f>
        <v>54.475600000000021</v>
      </c>
      <c r="G78" s="8"/>
    </row>
    <row r="79" spans="1:7" ht="13.5" customHeight="1" thickBot="1" x14ac:dyDescent="0.25">
      <c r="F79" s="21">
        <f>SUM(E77:E78)</f>
        <v>294.73720000000003</v>
      </c>
      <c r="G79" s="8"/>
    </row>
    <row r="80" spans="1:7" ht="13.5" customHeight="1" x14ac:dyDescent="0.2">
      <c r="G80" s="8"/>
    </row>
    <row r="81" spans="1:7" ht="13.5" customHeight="1" thickBot="1" x14ac:dyDescent="0.25">
      <c r="A81" s="6" t="s">
        <v>278</v>
      </c>
      <c r="F81" s="22"/>
      <c r="G81" s="8"/>
    </row>
    <row r="82" spans="1:7" ht="13.5" customHeight="1" thickBot="1" x14ac:dyDescent="0.25">
      <c r="A82" s="59" t="s">
        <v>61</v>
      </c>
      <c r="B82" s="60" t="s">
        <v>62</v>
      </c>
      <c r="C82" s="60" t="s">
        <v>38</v>
      </c>
      <c r="D82" s="61" t="s">
        <v>230</v>
      </c>
      <c r="E82" s="61" t="s">
        <v>63</v>
      </c>
      <c r="F82" s="62" t="s">
        <v>64</v>
      </c>
      <c r="G82" s="8"/>
    </row>
    <row r="83" spans="1:7" ht="13.5" customHeight="1" x14ac:dyDescent="0.2">
      <c r="A83" s="15" t="str">
        <f>+A77</f>
        <v>Coletor</v>
      </c>
      <c r="B83" s="16" t="s">
        <v>8</v>
      </c>
      <c r="C83" s="99">
        <f>C76*(E36)</f>
        <v>78</v>
      </c>
      <c r="D83" s="92">
        <v>16</v>
      </c>
      <c r="E83" s="49">
        <f>C83*D83</f>
        <v>1248</v>
      </c>
      <c r="F83" s="22"/>
      <c r="G83" s="8"/>
    </row>
    <row r="84" spans="1:7" ht="13.5" customHeight="1" thickBot="1" x14ac:dyDescent="0.25">
      <c r="A84" s="15" t="str">
        <f>+A78</f>
        <v>Motorista</v>
      </c>
      <c r="B84" s="16" t="s">
        <v>8</v>
      </c>
      <c r="C84" s="99">
        <f>C76*(E37)</f>
        <v>26</v>
      </c>
      <c r="D84" s="92">
        <v>10.92</v>
      </c>
      <c r="E84" s="49">
        <f>C84*D84</f>
        <v>283.92</v>
      </c>
      <c r="F84" s="22"/>
      <c r="G84" s="8"/>
    </row>
    <row r="85" spans="1:7" ht="13.5" customHeight="1" thickBot="1" x14ac:dyDescent="0.25">
      <c r="F85" s="21">
        <f>SUM(E83:E84)</f>
        <v>1531.92</v>
      </c>
      <c r="G85" s="8"/>
    </row>
    <row r="86" spans="1:7" ht="13.5" customHeight="1" x14ac:dyDescent="0.2">
      <c r="F86" s="199"/>
      <c r="G86" s="8"/>
    </row>
    <row r="87" spans="1:7" ht="13.5" customHeight="1" thickBot="1" x14ac:dyDescent="0.25">
      <c r="A87" s="6" t="s">
        <v>279</v>
      </c>
      <c r="F87" s="22"/>
      <c r="G87" s="8"/>
    </row>
    <row r="88" spans="1:7" ht="13.5" customHeight="1" thickBot="1" x14ac:dyDescent="0.25">
      <c r="A88" s="59" t="s">
        <v>61</v>
      </c>
      <c r="B88" s="60" t="s">
        <v>62</v>
      </c>
      <c r="C88" s="60" t="s">
        <v>38</v>
      </c>
      <c r="D88" s="61" t="s">
        <v>230</v>
      </c>
      <c r="E88" s="61" t="s">
        <v>63</v>
      </c>
      <c r="F88" s="62" t="s">
        <v>64</v>
      </c>
      <c r="G88" s="8"/>
    </row>
    <row r="89" spans="1:7" ht="13.5" customHeight="1" x14ac:dyDescent="0.2">
      <c r="A89" s="15" t="str">
        <f>+A83</f>
        <v>Coletor</v>
      </c>
      <c r="B89" s="16" t="s">
        <v>8</v>
      </c>
      <c r="C89" s="99">
        <f t="shared" ref="C89:C90" si="1">C83</f>
        <v>78</v>
      </c>
      <c r="D89" s="92">
        <v>8</v>
      </c>
      <c r="E89" s="49">
        <f>C89*D89</f>
        <v>624</v>
      </c>
      <c r="F89" s="22"/>
      <c r="G89" s="8"/>
    </row>
    <row r="90" spans="1:7" ht="13.5" customHeight="1" thickBot="1" x14ac:dyDescent="0.25">
      <c r="A90" s="15" t="str">
        <f>+A84</f>
        <v>Motorista</v>
      </c>
      <c r="B90" s="16" t="s">
        <v>8</v>
      </c>
      <c r="C90" s="99">
        <f t="shared" si="1"/>
        <v>26</v>
      </c>
      <c r="D90" s="92">
        <v>8</v>
      </c>
      <c r="E90" s="49">
        <f>C90*D90</f>
        <v>208</v>
      </c>
      <c r="F90" s="22"/>
      <c r="G90" s="8"/>
    </row>
    <row r="91" spans="1:7" ht="13.5" customHeight="1" thickBot="1" x14ac:dyDescent="0.25">
      <c r="F91" s="21">
        <f>SUM(E89:E90)</f>
        <v>832</v>
      </c>
      <c r="G91" s="8"/>
    </row>
    <row r="92" spans="1:7" ht="13.5" customHeight="1" x14ac:dyDescent="0.2">
      <c r="G92" s="8"/>
    </row>
    <row r="93" spans="1:7" ht="13.5" customHeight="1" thickBot="1" x14ac:dyDescent="0.25">
      <c r="A93" s="6" t="s">
        <v>280</v>
      </c>
      <c r="F93" s="22"/>
      <c r="G93" s="8"/>
    </row>
    <row r="94" spans="1:7" ht="13.5" customHeight="1" thickBot="1" x14ac:dyDescent="0.25">
      <c r="A94" s="59" t="s">
        <v>61</v>
      </c>
      <c r="B94" s="60" t="s">
        <v>62</v>
      </c>
      <c r="C94" s="60" t="s">
        <v>38</v>
      </c>
      <c r="D94" s="61" t="s">
        <v>230</v>
      </c>
      <c r="E94" s="61" t="s">
        <v>63</v>
      </c>
      <c r="F94" s="62" t="s">
        <v>64</v>
      </c>
      <c r="G94" s="8"/>
    </row>
    <row r="95" spans="1:7" ht="13.5" customHeight="1" x14ac:dyDescent="0.2">
      <c r="A95" s="15" t="str">
        <f>+A83</f>
        <v>Coletor</v>
      </c>
      <c r="B95" s="16" t="s">
        <v>8</v>
      </c>
      <c r="C95" s="99">
        <f>E36</f>
        <v>3</v>
      </c>
      <c r="D95" s="92">
        <v>0</v>
      </c>
      <c r="E95" s="49">
        <f>C95*D95</f>
        <v>0</v>
      </c>
      <c r="F95" s="22"/>
      <c r="G95" s="8"/>
    </row>
    <row r="96" spans="1:7" ht="13.5" customHeight="1" thickBot="1" x14ac:dyDescent="0.25">
      <c r="A96" s="15" t="str">
        <f>+A84</f>
        <v>Motorista</v>
      </c>
      <c r="B96" s="16" t="s">
        <v>8</v>
      </c>
      <c r="C96" s="99">
        <f>E37</f>
        <v>1</v>
      </c>
      <c r="D96" s="92">
        <v>82.82</v>
      </c>
      <c r="E96" s="49">
        <f>C96*D96</f>
        <v>82.82</v>
      </c>
      <c r="F96" s="22"/>
      <c r="G96" s="8"/>
    </row>
    <row r="97" spans="1:7" ht="13.5" customHeight="1" thickBot="1" x14ac:dyDescent="0.25">
      <c r="D97" s="117" t="s">
        <v>194</v>
      </c>
      <c r="E97" s="49">
        <f>$B$44</f>
        <v>1</v>
      </c>
      <c r="F97" s="21">
        <f>SUM(E95:E96)*E97</f>
        <v>82.82</v>
      </c>
      <c r="G97" s="8"/>
    </row>
    <row r="98" spans="1:7" ht="13.5" customHeight="1" thickBot="1" x14ac:dyDescent="0.25">
      <c r="G98" s="8"/>
    </row>
    <row r="99" spans="1:7" ht="13.5" customHeight="1" thickBot="1" x14ac:dyDescent="0.25">
      <c r="A99" s="23" t="s">
        <v>93</v>
      </c>
      <c r="B99" s="24"/>
      <c r="C99" s="24"/>
      <c r="D99" s="25"/>
      <c r="E99" s="26"/>
      <c r="F99" s="21">
        <f>F97+F85+F79+F71+F58+F91</f>
        <v>16274.237213227272</v>
      </c>
    </row>
    <row r="100" spans="1:7" ht="13.5" customHeight="1" x14ac:dyDescent="0.2">
      <c r="A100" s="33"/>
      <c r="B100" s="33"/>
      <c r="C100" s="33"/>
      <c r="D100" s="203"/>
      <c r="E100" s="203"/>
      <c r="F100" s="199"/>
    </row>
    <row r="101" spans="1:7" ht="13.5" customHeight="1" x14ac:dyDescent="0.2">
      <c r="G101" s="8"/>
    </row>
    <row r="102" spans="1:7" ht="13.5" customHeight="1" x14ac:dyDescent="0.2">
      <c r="A102" s="10" t="s">
        <v>42</v>
      </c>
      <c r="G102" s="8"/>
    </row>
    <row r="103" spans="1:7" ht="13.5" customHeight="1" x14ac:dyDescent="0.2">
      <c r="G103" s="8"/>
    </row>
    <row r="104" spans="1:7" ht="13.5" customHeight="1" thickBot="1" x14ac:dyDescent="0.25">
      <c r="A104" s="8" t="s">
        <v>196</v>
      </c>
      <c r="G104" s="8"/>
    </row>
    <row r="105" spans="1:7" ht="27" customHeight="1" thickBot="1" x14ac:dyDescent="0.25">
      <c r="A105" s="59" t="s">
        <v>61</v>
      </c>
      <c r="B105" s="60" t="s">
        <v>62</v>
      </c>
      <c r="C105" s="177" t="s">
        <v>243</v>
      </c>
      <c r="D105" s="61" t="s">
        <v>230</v>
      </c>
      <c r="E105" s="61" t="s">
        <v>63</v>
      </c>
      <c r="F105" s="62" t="s">
        <v>64</v>
      </c>
      <c r="G105" s="8"/>
    </row>
    <row r="106" spans="1:7" ht="13.5" customHeight="1" x14ac:dyDescent="0.2">
      <c r="A106" s="12" t="s">
        <v>65</v>
      </c>
      <c r="B106" s="13" t="s">
        <v>8</v>
      </c>
      <c r="C106" s="98">
        <v>5</v>
      </c>
      <c r="D106" s="86">
        <v>71.7</v>
      </c>
      <c r="E106" s="14">
        <f>IFERROR(D106/C106,0)</f>
        <v>14.34</v>
      </c>
      <c r="G106" s="8"/>
    </row>
    <row r="107" spans="1:7" ht="13.5" customHeight="1" x14ac:dyDescent="0.2">
      <c r="A107" s="15" t="s">
        <v>28</v>
      </c>
      <c r="B107" s="16" t="s">
        <v>8</v>
      </c>
      <c r="C107" s="98">
        <v>3</v>
      </c>
      <c r="D107" s="86">
        <v>39.1</v>
      </c>
      <c r="E107" s="14">
        <f t="shared" ref="E107:E115" si="2">IFERROR(D107/C107,0)</f>
        <v>13.033333333333333</v>
      </c>
      <c r="G107" s="8"/>
    </row>
    <row r="108" spans="1:7" ht="13.5" customHeight="1" x14ac:dyDescent="0.2">
      <c r="A108" s="15" t="s">
        <v>29</v>
      </c>
      <c r="B108" s="16" t="s">
        <v>8</v>
      </c>
      <c r="C108" s="98">
        <v>2</v>
      </c>
      <c r="D108" s="86">
        <v>24.3</v>
      </c>
      <c r="E108" s="14">
        <f t="shared" si="2"/>
        <v>12.15</v>
      </c>
      <c r="G108" s="8"/>
    </row>
    <row r="109" spans="1:7" ht="13.5" customHeight="1" x14ac:dyDescent="0.2">
      <c r="A109" s="15" t="s">
        <v>30</v>
      </c>
      <c r="B109" s="16" t="s">
        <v>8</v>
      </c>
      <c r="C109" s="98">
        <v>4</v>
      </c>
      <c r="D109" s="86">
        <v>13.3</v>
      </c>
      <c r="E109" s="14">
        <f t="shared" si="2"/>
        <v>3.3250000000000002</v>
      </c>
      <c r="G109" s="8"/>
    </row>
    <row r="110" spans="1:7" ht="13.5" customHeight="1" x14ac:dyDescent="0.2">
      <c r="A110" s="15" t="s">
        <v>67</v>
      </c>
      <c r="B110" s="16" t="s">
        <v>45</v>
      </c>
      <c r="C110" s="98">
        <v>3</v>
      </c>
      <c r="D110" s="86">
        <v>53.3</v>
      </c>
      <c r="E110" s="14">
        <f t="shared" si="2"/>
        <v>17.766666666666666</v>
      </c>
      <c r="G110" s="8"/>
    </row>
    <row r="111" spans="1:7" ht="13.5" customHeight="1" x14ac:dyDescent="0.2">
      <c r="A111" s="15" t="s">
        <v>94</v>
      </c>
      <c r="B111" s="16" t="s">
        <v>45</v>
      </c>
      <c r="C111" s="98">
        <v>3</v>
      </c>
      <c r="D111" s="86">
        <v>7</v>
      </c>
      <c r="E111" s="14">
        <f t="shared" si="2"/>
        <v>2.3333333333333335</v>
      </c>
    </row>
    <row r="112" spans="1:7" ht="13.5" customHeight="1" x14ac:dyDescent="0.2">
      <c r="A112" s="15" t="s">
        <v>66</v>
      </c>
      <c r="B112" s="16" t="s">
        <v>8</v>
      </c>
      <c r="C112" s="98">
        <v>5</v>
      </c>
      <c r="D112" s="86">
        <v>23.8</v>
      </c>
      <c r="E112" s="14">
        <f t="shared" si="2"/>
        <v>4.76</v>
      </c>
    </row>
    <row r="113" spans="1:7" s="1" customFormat="1" ht="13.5" customHeight="1" x14ac:dyDescent="0.2">
      <c r="A113" s="2" t="s">
        <v>9</v>
      </c>
      <c r="B113" s="3" t="s">
        <v>8</v>
      </c>
      <c r="C113" s="98">
        <v>6</v>
      </c>
      <c r="D113" s="86">
        <v>26.1</v>
      </c>
      <c r="E113" s="14">
        <f t="shared" si="2"/>
        <v>4.3500000000000005</v>
      </c>
      <c r="F113" s="37"/>
      <c r="G113" s="37"/>
    </row>
    <row r="114" spans="1:7" ht="13.5" customHeight="1" x14ac:dyDescent="0.2">
      <c r="A114" s="15" t="s">
        <v>31</v>
      </c>
      <c r="B114" s="16" t="s">
        <v>45</v>
      </c>
      <c r="C114" s="98">
        <v>2</v>
      </c>
      <c r="D114" s="86">
        <v>12.9</v>
      </c>
      <c r="E114" s="14">
        <f t="shared" si="2"/>
        <v>6.45</v>
      </c>
    </row>
    <row r="115" spans="1:7" ht="13.5" customHeight="1" x14ac:dyDescent="0.2">
      <c r="A115" s="15" t="s">
        <v>60</v>
      </c>
      <c r="B115" s="16" t="s">
        <v>46</v>
      </c>
      <c r="C115" s="98">
        <v>2</v>
      </c>
      <c r="D115" s="86">
        <v>15.4</v>
      </c>
      <c r="E115" s="14">
        <f t="shared" si="2"/>
        <v>7.7</v>
      </c>
    </row>
    <row r="116" spans="1:7" ht="13.5" customHeight="1" x14ac:dyDescent="0.2">
      <c r="A116" s="15" t="s">
        <v>197</v>
      </c>
      <c r="B116" s="16" t="s">
        <v>120</v>
      </c>
      <c r="C116" s="115">
        <v>1</v>
      </c>
      <c r="D116" s="86">
        <v>120</v>
      </c>
      <c r="E116" s="17">
        <f t="shared" ref="E116:E117" si="3">C116*D116</f>
        <v>120</v>
      </c>
    </row>
    <row r="117" spans="1:7" ht="13.5" customHeight="1" thickBot="1" x14ac:dyDescent="0.25">
      <c r="A117" s="15" t="s">
        <v>4</v>
      </c>
      <c r="B117" s="16" t="s">
        <v>5</v>
      </c>
      <c r="C117" s="68">
        <f>E36</f>
        <v>3</v>
      </c>
      <c r="D117" s="17">
        <f>+SUM(E106:E116)</f>
        <v>206.20833333333334</v>
      </c>
      <c r="E117" s="17">
        <f t="shared" si="3"/>
        <v>618.625</v>
      </c>
    </row>
    <row r="118" spans="1:7" ht="13.5" customHeight="1" thickBot="1" x14ac:dyDescent="0.25">
      <c r="D118" s="117" t="s">
        <v>194</v>
      </c>
      <c r="E118" s="49">
        <f>$B$44</f>
        <v>1</v>
      </c>
      <c r="F118" s="118">
        <f>E117*E118</f>
        <v>618.625</v>
      </c>
    </row>
    <row r="119" spans="1:7" ht="13.5" customHeight="1" thickBot="1" x14ac:dyDescent="0.25">
      <c r="A119" s="8" t="s">
        <v>198</v>
      </c>
    </row>
    <row r="120" spans="1:7" ht="27" customHeight="1" thickBot="1" x14ac:dyDescent="0.25">
      <c r="A120" s="59" t="s">
        <v>61</v>
      </c>
      <c r="B120" s="60" t="s">
        <v>62</v>
      </c>
      <c r="C120" s="177" t="s">
        <v>243</v>
      </c>
      <c r="D120" s="61" t="s">
        <v>230</v>
      </c>
      <c r="E120" s="61" t="s">
        <v>63</v>
      </c>
      <c r="F120" s="62" t="s">
        <v>64</v>
      </c>
    </row>
    <row r="121" spans="1:7" ht="13.5" customHeight="1" x14ac:dyDescent="0.2">
      <c r="A121" s="12" t="s">
        <v>65</v>
      </c>
      <c r="B121" s="13" t="s">
        <v>8</v>
      </c>
      <c r="C121" s="98">
        <v>7</v>
      </c>
      <c r="D121" s="14">
        <f>+D106</f>
        <v>71.7</v>
      </c>
      <c r="E121" s="14">
        <f>IFERROR(D121/C121,0)</f>
        <v>10.242857142857144</v>
      </c>
    </row>
    <row r="122" spans="1:7" ht="13.5" customHeight="1" x14ac:dyDescent="0.2">
      <c r="A122" s="15" t="s">
        <v>28</v>
      </c>
      <c r="B122" s="16" t="s">
        <v>8</v>
      </c>
      <c r="C122" s="98">
        <v>4</v>
      </c>
      <c r="D122" s="17">
        <f>+D107</f>
        <v>39.1</v>
      </c>
      <c r="E122" s="14">
        <f t="shared" ref="E122:E126" si="4">IFERROR(D122/C122,0)</f>
        <v>9.7750000000000004</v>
      </c>
    </row>
    <row r="123" spans="1:7" ht="13.5" customHeight="1" x14ac:dyDescent="0.2">
      <c r="A123" s="15" t="s">
        <v>29</v>
      </c>
      <c r="B123" s="16" t="s">
        <v>8</v>
      </c>
      <c r="C123" s="200">
        <v>3</v>
      </c>
      <c r="D123" s="17">
        <f>+D108</f>
        <v>24.3</v>
      </c>
      <c r="E123" s="14">
        <f t="shared" si="4"/>
        <v>8.1</v>
      </c>
    </row>
    <row r="124" spans="1:7" ht="13.5" customHeight="1" x14ac:dyDescent="0.2">
      <c r="A124" s="15" t="s">
        <v>67</v>
      </c>
      <c r="B124" s="16" t="s">
        <v>45</v>
      </c>
      <c r="C124" s="98">
        <v>4</v>
      </c>
      <c r="D124" s="17">
        <f>+D110</f>
        <v>53.3</v>
      </c>
      <c r="E124" s="14">
        <f t="shared" si="4"/>
        <v>13.324999999999999</v>
      </c>
    </row>
    <row r="125" spans="1:7" ht="13.5" customHeight="1" x14ac:dyDescent="0.2">
      <c r="A125" s="15" t="s">
        <v>66</v>
      </c>
      <c r="B125" s="16" t="s">
        <v>8</v>
      </c>
      <c r="C125" s="98">
        <v>5</v>
      </c>
      <c r="D125" s="17">
        <f>+D112</f>
        <v>23.8</v>
      </c>
      <c r="E125" s="14">
        <f t="shared" si="4"/>
        <v>4.76</v>
      </c>
      <c r="G125" s="8"/>
    </row>
    <row r="126" spans="1:7" ht="13.5" customHeight="1" x14ac:dyDescent="0.2">
      <c r="A126" s="15" t="s">
        <v>60</v>
      </c>
      <c r="B126" s="16" t="s">
        <v>46</v>
      </c>
      <c r="C126" s="98">
        <v>2</v>
      </c>
      <c r="D126" s="17">
        <f>+D115</f>
        <v>15.4</v>
      </c>
      <c r="E126" s="14">
        <f t="shared" si="4"/>
        <v>7.7</v>
      </c>
      <c r="G126" s="8"/>
    </row>
    <row r="127" spans="1:7" ht="13.5" customHeight="1" x14ac:dyDescent="0.2">
      <c r="A127" s="15" t="s">
        <v>197</v>
      </c>
      <c r="B127" s="16" t="s">
        <v>120</v>
      </c>
      <c r="C127" s="115">
        <v>1</v>
      </c>
      <c r="D127" s="86">
        <f>12*6</f>
        <v>72</v>
      </c>
      <c r="E127" s="17">
        <f t="shared" ref="E127:E128" si="5">C127*D127</f>
        <v>72</v>
      </c>
      <c r="G127" s="8"/>
    </row>
    <row r="128" spans="1:7" ht="13.5" customHeight="1" thickBot="1" x14ac:dyDescent="0.25">
      <c r="A128" s="15" t="s">
        <v>4</v>
      </c>
      <c r="B128" s="16" t="s">
        <v>5</v>
      </c>
      <c r="C128" s="68">
        <f>E37</f>
        <v>1</v>
      </c>
      <c r="D128" s="17">
        <f>+SUM(E121:E127)</f>
        <v>125.90285714285716</v>
      </c>
      <c r="E128" s="17">
        <f t="shared" si="5"/>
        <v>125.90285714285716</v>
      </c>
      <c r="G128" s="8"/>
    </row>
    <row r="129" spans="1:10" ht="13.5" customHeight="1" thickBot="1" x14ac:dyDescent="0.25">
      <c r="D129" s="117" t="s">
        <v>194</v>
      </c>
      <c r="E129" s="49">
        <f>$B$44</f>
        <v>1</v>
      </c>
      <c r="F129" s="118">
        <f>E128*E129</f>
        <v>125.90285714285716</v>
      </c>
      <c r="G129" s="8"/>
    </row>
    <row r="130" spans="1:10" ht="13.5" customHeight="1" thickBot="1" x14ac:dyDescent="0.25">
      <c r="G130" s="8"/>
    </row>
    <row r="131" spans="1:10" ht="13.5" customHeight="1" thickBot="1" x14ac:dyDescent="0.25">
      <c r="A131" s="23" t="s">
        <v>199</v>
      </c>
      <c r="B131" s="27"/>
      <c r="C131" s="27"/>
      <c r="D131" s="28"/>
      <c r="E131" s="29"/>
      <c r="F131" s="20">
        <f>+F118+F129</f>
        <v>744.5278571428571</v>
      </c>
      <c r="G131" s="8"/>
    </row>
    <row r="132" spans="1:10" ht="13.5" customHeight="1" x14ac:dyDescent="0.2">
      <c r="A132" s="33"/>
      <c r="B132" s="53"/>
      <c r="C132" s="53"/>
      <c r="D132" s="58"/>
      <c r="E132" s="58"/>
      <c r="F132" s="196"/>
      <c r="G132" s="8"/>
    </row>
    <row r="133" spans="1:10" ht="13.5" customHeight="1" x14ac:dyDescent="0.2">
      <c r="G133" s="8"/>
    </row>
    <row r="134" spans="1:10" ht="13.5" customHeight="1" x14ac:dyDescent="0.2">
      <c r="A134" s="10" t="s">
        <v>51</v>
      </c>
      <c r="G134" s="8"/>
    </row>
    <row r="135" spans="1:10" ht="13.5" customHeight="1" x14ac:dyDescent="0.2">
      <c r="B135" s="104"/>
      <c r="G135" s="8"/>
    </row>
    <row r="136" spans="1:10" ht="13.5" customHeight="1" x14ac:dyDescent="0.2">
      <c r="A136" s="6" t="s">
        <v>318</v>
      </c>
      <c r="G136" s="8"/>
    </row>
    <row r="137" spans="1:10" ht="13.5" customHeight="1" x14ac:dyDescent="0.2">
      <c r="G137" s="8"/>
    </row>
    <row r="138" spans="1:10" ht="13.5" customHeight="1" thickBot="1" x14ac:dyDescent="0.25">
      <c r="A138" s="104" t="s">
        <v>43</v>
      </c>
      <c r="G138" s="8"/>
    </row>
    <row r="139" spans="1:10" ht="13.5" customHeight="1" thickBot="1" x14ac:dyDescent="0.25">
      <c r="A139" s="59" t="s">
        <v>61</v>
      </c>
      <c r="B139" s="60" t="s">
        <v>62</v>
      </c>
      <c r="C139" s="60" t="s">
        <v>38</v>
      </c>
      <c r="D139" s="61" t="s">
        <v>230</v>
      </c>
      <c r="E139" s="61" t="s">
        <v>63</v>
      </c>
      <c r="F139" s="62" t="s">
        <v>64</v>
      </c>
      <c r="G139" s="8"/>
    </row>
    <row r="140" spans="1:10" ht="13.5" customHeight="1" x14ac:dyDescent="0.2">
      <c r="A140" s="12" t="s">
        <v>103</v>
      </c>
      <c r="B140" s="13" t="s">
        <v>8</v>
      </c>
      <c r="C140" s="183">
        <v>1</v>
      </c>
      <c r="D140" s="86">
        <v>254300</v>
      </c>
      <c r="E140" s="14">
        <f>C140*D140</f>
        <v>254300</v>
      </c>
      <c r="G140" s="8"/>
    </row>
    <row r="141" spans="1:10" ht="13.5" customHeight="1" x14ac:dyDescent="0.2">
      <c r="A141" s="15" t="s">
        <v>97</v>
      </c>
      <c r="B141" s="16" t="s">
        <v>98</v>
      </c>
      <c r="C141" s="85">
        <v>10</v>
      </c>
      <c r="D141" s="82"/>
      <c r="E141" s="17"/>
      <c r="G141" s="8"/>
    </row>
    <row r="142" spans="1:10" ht="13.5" customHeight="1" x14ac:dyDescent="0.2">
      <c r="A142" s="15" t="s">
        <v>205</v>
      </c>
      <c r="B142" s="16" t="s">
        <v>98</v>
      </c>
      <c r="C142" s="85">
        <v>0</v>
      </c>
      <c r="D142" s="17"/>
      <c r="E142" s="17"/>
      <c r="F142" s="19"/>
      <c r="I142" s="84"/>
      <c r="J142" s="84"/>
    </row>
    <row r="143" spans="1:10" ht="13.5" customHeight="1" x14ac:dyDescent="0.2">
      <c r="A143" s="15" t="s">
        <v>101</v>
      </c>
      <c r="B143" s="16" t="s">
        <v>1</v>
      </c>
      <c r="C143" s="130">
        <f>IFERROR(VLOOKUP(C141,'5. Depreciação'!B5:C19,2,FALSE),0)</f>
        <v>65.180000000000007</v>
      </c>
      <c r="D143" s="17">
        <f>E140</f>
        <v>254300</v>
      </c>
      <c r="E143" s="17">
        <f>C143*D143/100</f>
        <v>165752.74000000002</v>
      </c>
    </row>
    <row r="144" spans="1:10" ht="13.5" customHeight="1" thickBot="1" x14ac:dyDescent="0.25">
      <c r="A144" s="186" t="s">
        <v>47</v>
      </c>
      <c r="B144" s="187" t="s">
        <v>6</v>
      </c>
      <c r="C144" s="187">
        <f>C141*12</f>
        <v>120</v>
      </c>
      <c r="D144" s="188">
        <f>IF(C142&lt;=C141,E143,0)</f>
        <v>165752.74000000002</v>
      </c>
      <c r="E144" s="188">
        <f>IFERROR(D144/C144,0)</f>
        <v>1381.2728333333334</v>
      </c>
    </row>
    <row r="145" spans="1:10" ht="13.5" customHeight="1" thickTop="1" x14ac:dyDescent="0.2">
      <c r="A145" s="12" t="s">
        <v>102</v>
      </c>
      <c r="B145" s="13" t="s">
        <v>8</v>
      </c>
      <c r="C145" s="13">
        <f>C140</f>
        <v>1</v>
      </c>
      <c r="D145" s="86">
        <v>115500</v>
      </c>
      <c r="E145" s="14">
        <f>C145*D145</f>
        <v>115500</v>
      </c>
      <c r="G145" s="8"/>
    </row>
    <row r="146" spans="1:10" ht="13.5" customHeight="1" x14ac:dyDescent="0.2">
      <c r="A146" s="15" t="s">
        <v>99</v>
      </c>
      <c r="B146" s="16" t="s">
        <v>98</v>
      </c>
      <c r="C146" s="85">
        <v>10</v>
      </c>
      <c r="D146" s="17"/>
      <c r="E146" s="17"/>
    </row>
    <row r="147" spans="1:10" ht="13.5" customHeight="1" x14ac:dyDescent="0.2">
      <c r="A147" s="15" t="s">
        <v>206</v>
      </c>
      <c r="B147" s="16" t="s">
        <v>98</v>
      </c>
      <c r="C147" s="85">
        <v>0</v>
      </c>
      <c r="D147" s="17"/>
      <c r="E147" s="17"/>
      <c r="F147" s="19"/>
      <c r="I147" s="84"/>
      <c r="J147" s="84"/>
    </row>
    <row r="148" spans="1:10" ht="13.5" customHeight="1" x14ac:dyDescent="0.2">
      <c r="A148" s="15" t="s">
        <v>100</v>
      </c>
      <c r="B148" s="16" t="s">
        <v>1</v>
      </c>
      <c r="C148" s="131">
        <f>IFERROR(VLOOKUP(C146,'5. Depreciação'!B5:C19,2,FALSE),0)</f>
        <v>65.180000000000007</v>
      </c>
      <c r="D148" s="17">
        <f>E145</f>
        <v>115500</v>
      </c>
      <c r="E148" s="17">
        <f>C148*D148/100</f>
        <v>75282.900000000009</v>
      </c>
    </row>
    <row r="149" spans="1:10" ht="13.5" customHeight="1" x14ac:dyDescent="0.2">
      <c r="A149" s="100" t="s">
        <v>104</v>
      </c>
      <c r="B149" s="101" t="s">
        <v>6</v>
      </c>
      <c r="C149" s="101">
        <f>C146*12</f>
        <v>120</v>
      </c>
      <c r="D149" s="102">
        <f>IF(C147&lt;=C146,E148,0)</f>
        <v>75282.900000000009</v>
      </c>
      <c r="E149" s="102">
        <f>IFERROR(D149/C149,0)</f>
        <v>627.35750000000007</v>
      </c>
    </row>
    <row r="150" spans="1:10" ht="13.5" customHeight="1" x14ac:dyDescent="0.2">
      <c r="A150" s="111" t="s">
        <v>246</v>
      </c>
      <c r="B150" s="112"/>
      <c r="C150" s="112"/>
      <c r="D150" s="113"/>
      <c r="E150" s="114">
        <f>E144+E149</f>
        <v>2008.6303333333335</v>
      </c>
    </row>
    <row r="151" spans="1:10" ht="13.5" customHeight="1" thickBot="1" x14ac:dyDescent="0.25">
      <c r="A151" s="100" t="s">
        <v>247</v>
      </c>
      <c r="B151" s="101" t="s">
        <v>8</v>
      </c>
      <c r="C151" s="85">
        <v>1</v>
      </c>
      <c r="D151" s="102">
        <f>E150</f>
        <v>2008.6303333333335</v>
      </c>
      <c r="E151" s="114">
        <f>C151*D151</f>
        <v>2008.6303333333335</v>
      </c>
    </row>
    <row r="152" spans="1:10" ht="13.5" customHeight="1" thickBot="1" x14ac:dyDescent="0.25">
      <c r="A152" s="182"/>
      <c r="B152" s="182"/>
      <c r="C152" s="182"/>
      <c r="D152" s="117" t="s">
        <v>194</v>
      </c>
      <c r="E152" s="49">
        <f>$B$44</f>
        <v>1</v>
      </c>
      <c r="F152" s="20">
        <f>E151*E152</f>
        <v>2008.6303333333335</v>
      </c>
    </row>
    <row r="153" spans="1:10" ht="13.5" customHeight="1" x14ac:dyDescent="0.2"/>
    <row r="154" spans="1:10" ht="13.5" customHeight="1" thickBot="1" x14ac:dyDescent="0.25">
      <c r="A154" s="104" t="s">
        <v>109</v>
      </c>
    </row>
    <row r="155" spans="1:10" ht="13.5" customHeight="1" thickBot="1" x14ac:dyDescent="0.25">
      <c r="A155" s="59" t="s">
        <v>61</v>
      </c>
      <c r="B155" s="60" t="s">
        <v>62</v>
      </c>
      <c r="C155" s="60" t="s">
        <v>38</v>
      </c>
      <c r="D155" s="205" t="s">
        <v>230</v>
      </c>
      <c r="E155" s="205" t="s">
        <v>63</v>
      </c>
      <c r="F155" s="206" t="s">
        <v>64</v>
      </c>
      <c r="I155" s="84"/>
      <c r="J155" s="84"/>
    </row>
    <row r="156" spans="1:10" ht="13.5" customHeight="1" x14ac:dyDescent="0.2">
      <c r="A156" s="12" t="s">
        <v>107</v>
      </c>
      <c r="B156" s="13" t="s">
        <v>8</v>
      </c>
      <c r="C156" s="183">
        <v>1</v>
      </c>
      <c r="D156" s="14">
        <f>D140</f>
        <v>254300</v>
      </c>
      <c r="E156" s="14">
        <f>C156*D156</f>
        <v>254300</v>
      </c>
      <c r="F156" s="19"/>
      <c r="I156" s="84"/>
      <c r="J156" s="84"/>
    </row>
    <row r="157" spans="1:10" ht="13.5" customHeight="1" x14ac:dyDescent="0.2">
      <c r="A157" s="15" t="s">
        <v>209</v>
      </c>
      <c r="B157" s="16" t="s">
        <v>1</v>
      </c>
      <c r="C157" s="85">
        <v>6.5</v>
      </c>
      <c r="D157" s="17"/>
      <c r="E157" s="17"/>
      <c r="F157" s="19"/>
      <c r="I157" s="84"/>
      <c r="J157" s="84"/>
    </row>
    <row r="158" spans="1:10" ht="13.5" customHeight="1" x14ac:dyDescent="0.2">
      <c r="A158" s="15" t="s">
        <v>207</v>
      </c>
      <c r="B158" s="16" t="s">
        <v>33</v>
      </c>
      <c r="C158" s="136">
        <f>IFERROR(IF(C142&lt;=C141,E140-(C143/(100*C141)*C142)*E140,E140-E143),0)</f>
        <v>254300</v>
      </c>
      <c r="D158" s="17"/>
      <c r="E158" s="17"/>
      <c r="F158" s="19"/>
      <c r="I158" s="84"/>
      <c r="J158" s="84"/>
    </row>
    <row r="159" spans="1:10" ht="13.5" customHeight="1" x14ac:dyDescent="0.2">
      <c r="A159" s="15" t="s">
        <v>112</v>
      </c>
      <c r="B159" s="16" t="s">
        <v>33</v>
      </c>
      <c r="C159" s="82">
        <f>IFERROR(IF(C142&gt;=C141,C158,((((C158)-(E140-E143))*(((C141-C142)+1)/(2*(C141-C142))))+(E140-E143))),0)</f>
        <v>179711.26699999999</v>
      </c>
      <c r="D159" s="17"/>
      <c r="E159" s="17"/>
      <c r="F159" s="19"/>
      <c r="I159" s="84"/>
      <c r="J159" s="84"/>
    </row>
    <row r="160" spans="1:10" ht="13.5" customHeight="1" thickBot="1" x14ac:dyDescent="0.25">
      <c r="A160" s="186" t="s">
        <v>113</v>
      </c>
      <c r="B160" s="187" t="s">
        <v>33</v>
      </c>
      <c r="C160" s="187"/>
      <c r="D160" s="189">
        <f>C157*C159/12/100</f>
        <v>973.43602958333327</v>
      </c>
      <c r="E160" s="188">
        <f>D160</f>
        <v>973.43602958333327</v>
      </c>
      <c r="F160" s="19"/>
      <c r="I160" s="84"/>
      <c r="J160" s="84"/>
    </row>
    <row r="161" spans="1:10" ht="13.5" customHeight="1" thickTop="1" x14ac:dyDescent="0.2">
      <c r="A161" s="12" t="s">
        <v>108</v>
      </c>
      <c r="B161" s="13" t="s">
        <v>8</v>
      </c>
      <c r="C161" s="13">
        <f>C145</f>
        <v>1</v>
      </c>
      <c r="D161" s="14">
        <f>D145</f>
        <v>115500</v>
      </c>
      <c r="E161" s="14">
        <f>C161*D161</f>
        <v>115500</v>
      </c>
      <c r="F161" s="19"/>
      <c r="I161" s="84"/>
      <c r="J161" s="84"/>
    </row>
    <row r="162" spans="1:10" ht="13.5" customHeight="1" x14ac:dyDescent="0.2">
      <c r="A162" s="15" t="s">
        <v>209</v>
      </c>
      <c r="B162" s="16" t="s">
        <v>1</v>
      </c>
      <c r="C162" s="184">
        <f>C157</f>
        <v>6.5</v>
      </c>
      <c r="D162" s="17"/>
      <c r="E162" s="17"/>
      <c r="F162" s="19"/>
      <c r="I162" s="84"/>
      <c r="J162" s="84"/>
    </row>
    <row r="163" spans="1:10" ht="13.5" customHeight="1" x14ac:dyDescent="0.2">
      <c r="A163" s="15" t="s">
        <v>208</v>
      </c>
      <c r="B163" s="16" t="s">
        <v>33</v>
      </c>
      <c r="C163" s="136">
        <f>IFERROR(IF(C147&lt;=C146,E145-(C148/(100*C146)*C147)*E145,E145-E148),0)</f>
        <v>115500</v>
      </c>
      <c r="D163" s="17"/>
      <c r="E163" s="17"/>
      <c r="F163" s="19"/>
      <c r="I163" s="84"/>
      <c r="J163" s="84"/>
    </row>
    <row r="164" spans="1:10" ht="13.5" customHeight="1" x14ac:dyDescent="0.2">
      <c r="A164" s="15" t="s">
        <v>114</v>
      </c>
      <c r="B164" s="16" t="s">
        <v>33</v>
      </c>
      <c r="C164" s="82">
        <f>IFERROR(IF(C147&gt;=C146,C163,((((C163)-(E145-E148))*(((C146-C147)+1)/(2*(C146-C147))))+(E145-E148))),0)</f>
        <v>81622.695000000007</v>
      </c>
      <c r="D164" s="17"/>
      <c r="E164" s="17"/>
      <c r="F164" s="19"/>
      <c r="I164" s="84"/>
      <c r="J164" s="84"/>
    </row>
    <row r="165" spans="1:10" ht="13.5" customHeight="1" x14ac:dyDescent="0.2">
      <c r="A165" s="100" t="s">
        <v>111</v>
      </c>
      <c r="B165" s="101" t="s">
        <v>33</v>
      </c>
      <c r="C165" s="101"/>
      <c r="D165" s="107">
        <f>C162*C164/12/100</f>
        <v>442.12293125000002</v>
      </c>
      <c r="E165" s="102">
        <f>D165</f>
        <v>442.12293125000002</v>
      </c>
      <c r="F165" s="19"/>
      <c r="I165" s="84"/>
      <c r="J165" s="84"/>
    </row>
    <row r="166" spans="1:10" ht="13.5" customHeight="1" x14ac:dyDescent="0.2">
      <c r="A166" s="111" t="s">
        <v>246</v>
      </c>
      <c r="B166" s="112"/>
      <c r="C166" s="112"/>
      <c r="D166" s="113"/>
      <c r="E166" s="114">
        <f>E160+E165</f>
        <v>1415.5589608333332</v>
      </c>
      <c r="F166" s="19"/>
      <c r="I166" s="84"/>
      <c r="J166" s="84"/>
    </row>
    <row r="167" spans="1:10" ht="13.5" customHeight="1" thickBot="1" x14ac:dyDescent="0.25">
      <c r="A167" s="100" t="s">
        <v>247</v>
      </c>
      <c r="B167" s="101" t="s">
        <v>8</v>
      </c>
      <c r="C167" s="184">
        <f>C151</f>
        <v>1</v>
      </c>
      <c r="D167" s="102">
        <f>E166</f>
        <v>1415.5589608333332</v>
      </c>
      <c r="E167" s="114">
        <f>C167*D167</f>
        <v>1415.5589608333332</v>
      </c>
      <c r="F167" s="19"/>
      <c r="I167" s="84"/>
      <c r="J167" s="84"/>
    </row>
    <row r="168" spans="1:10" ht="13.5" customHeight="1" thickBot="1" x14ac:dyDescent="0.25">
      <c r="C168" s="18"/>
      <c r="D168" s="117" t="s">
        <v>194</v>
      </c>
      <c r="E168" s="49">
        <f>$B$44</f>
        <v>1</v>
      </c>
      <c r="F168" s="20">
        <f>E167*E168</f>
        <v>1415.5589608333332</v>
      </c>
      <c r="I168" s="84"/>
      <c r="J168" s="84"/>
    </row>
    <row r="169" spans="1:10" ht="13.5" customHeight="1" x14ac:dyDescent="0.2">
      <c r="I169" s="84"/>
      <c r="J169" s="84"/>
    </row>
    <row r="170" spans="1:10" ht="13.5" customHeight="1" thickBot="1" x14ac:dyDescent="0.25">
      <c r="A170" s="6" t="s">
        <v>48</v>
      </c>
      <c r="I170" s="84"/>
      <c r="J170" s="84"/>
    </row>
    <row r="171" spans="1:10" ht="13.5" customHeight="1" thickBot="1" x14ac:dyDescent="0.25">
      <c r="A171" s="59" t="s">
        <v>61</v>
      </c>
      <c r="B171" s="60" t="s">
        <v>62</v>
      </c>
      <c r="C171" s="60" t="s">
        <v>38</v>
      </c>
      <c r="D171" s="61" t="s">
        <v>230</v>
      </c>
      <c r="E171" s="61" t="s">
        <v>63</v>
      </c>
      <c r="F171" s="62" t="s">
        <v>64</v>
      </c>
      <c r="I171" s="84"/>
      <c r="J171" s="84"/>
    </row>
    <row r="172" spans="1:10" ht="13.5" customHeight="1" x14ac:dyDescent="0.2">
      <c r="A172" s="12" t="s">
        <v>10</v>
      </c>
      <c r="B172" s="13" t="s">
        <v>8</v>
      </c>
      <c r="C172" s="14">
        <f>C151</f>
        <v>1</v>
      </c>
      <c r="D172" s="14">
        <f>0.01*($E$140)</f>
        <v>2543</v>
      </c>
      <c r="E172" s="14">
        <f>C172*D172</f>
        <v>2543</v>
      </c>
      <c r="I172" s="84"/>
      <c r="J172" s="84"/>
    </row>
    <row r="173" spans="1:10" ht="13.5" customHeight="1" x14ac:dyDescent="0.2">
      <c r="A173" s="15" t="s">
        <v>193</v>
      </c>
      <c r="B173" s="16" t="s">
        <v>8</v>
      </c>
      <c r="C173" s="14">
        <f>C151</f>
        <v>1</v>
      </c>
      <c r="D173" s="87">
        <v>156</v>
      </c>
      <c r="E173" s="17">
        <f>C173*D173</f>
        <v>156</v>
      </c>
      <c r="I173" s="84"/>
      <c r="J173" s="84"/>
    </row>
    <row r="174" spans="1:10" ht="13.5" customHeight="1" x14ac:dyDescent="0.2">
      <c r="A174" s="15" t="s">
        <v>11</v>
      </c>
      <c r="B174" s="16" t="s">
        <v>8</v>
      </c>
      <c r="C174" s="14">
        <f>C151</f>
        <v>1</v>
      </c>
      <c r="D174" s="87">
        <v>2000</v>
      </c>
      <c r="E174" s="17">
        <f>C174*D174</f>
        <v>2000</v>
      </c>
      <c r="F174" s="30"/>
      <c r="I174" s="84"/>
      <c r="J174" s="84"/>
    </row>
    <row r="175" spans="1:10" ht="13.5" customHeight="1" thickBot="1" x14ac:dyDescent="0.25">
      <c r="A175" s="100" t="s">
        <v>12</v>
      </c>
      <c r="B175" s="101" t="s">
        <v>6</v>
      </c>
      <c r="C175" s="101">
        <v>12</v>
      </c>
      <c r="D175" s="102">
        <f>SUM(E172:E174)</f>
        <v>4699</v>
      </c>
      <c r="E175" s="102">
        <f>D175/C175</f>
        <v>391.58333333333331</v>
      </c>
      <c r="I175" s="84"/>
      <c r="J175" s="84"/>
    </row>
    <row r="176" spans="1:10" ht="13.5" customHeight="1" thickBot="1" x14ac:dyDescent="0.25">
      <c r="D176" s="117" t="s">
        <v>194</v>
      </c>
      <c r="E176" s="49">
        <f>$B$44</f>
        <v>1</v>
      </c>
      <c r="F176" s="118">
        <f>E175*E176</f>
        <v>391.58333333333331</v>
      </c>
      <c r="I176" s="84"/>
      <c r="J176" s="84"/>
    </row>
    <row r="177" spans="1:10" ht="13.5" customHeight="1" x14ac:dyDescent="0.2">
      <c r="I177" s="84"/>
      <c r="J177" s="84"/>
    </row>
    <row r="178" spans="1:10" ht="13.5" customHeight="1" x14ac:dyDescent="0.2">
      <c r="A178" s="6" t="s">
        <v>49</v>
      </c>
      <c r="B178" s="31"/>
      <c r="I178" s="84"/>
      <c r="J178" s="84"/>
    </row>
    <row r="179" spans="1:10" ht="13.5" customHeight="1" x14ac:dyDescent="0.2">
      <c r="A179" s="100" t="s">
        <v>116</v>
      </c>
      <c r="B179" s="108">
        <f>((((32*3)+(43*3)+(71))/6)*26)+84*26</f>
        <v>3466.666666666667</v>
      </c>
      <c r="C179" s="31"/>
      <c r="I179" s="84"/>
      <c r="J179" s="84"/>
    </row>
    <row r="180" spans="1:10" ht="13.5" customHeight="1" thickBot="1" x14ac:dyDescent="0.25">
      <c r="B180" s="31"/>
      <c r="I180" s="84"/>
      <c r="J180" s="84"/>
    </row>
    <row r="181" spans="1:10" ht="13.5" customHeight="1" thickBot="1" x14ac:dyDescent="0.25">
      <c r="A181" s="59" t="s">
        <v>61</v>
      </c>
      <c r="B181" s="60" t="s">
        <v>62</v>
      </c>
      <c r="C181" s="60" t="s">
        <v>245</v>
      </c>
      <c r="D181" s="61" t="s">
        <v>230</v>
      </c>
      <c r="E181" s="61" t="s">
        <v>63</v>
      </c>
      <c r="F181" s="62" t="s">
        <v>64</v>
      </c>
      <c r="I181" s="84"/>
      <c r="J181" s="84"/>
    </row>
    <row r="182" spans="1:10" ht="13.5" customHeight="1" x14ac:dyDescent="0.2">
      <c r="A182" s="12" t="s">
        <v>13</v>
      </c>
      <c r="B182" s="13" t="s">
        <v>14</v>
      </c>
      <c r="C182" s="94">
        <v>2.2000000000000002</v>
      </c>
      <c r="D182" s="95">
        <v>3.92</v>
      </c>
      <c r="E182" s="14"/>
      <c r="I182" s="84"/>
      <c r="J182" s="84"/>
    </row>
    <row r="183" spans="1:10" ht="13.5" customHeight="1" x14ac:dyDescent="0.2">
      <c r="A183" s="15" t="s">
        <v>15</v>
      </c>
      <c r="B183" s="16" t="s">
        <v>16</v>
      </c>
      <c r="C183" s="91">
        <f>B179</f>
        <v>3466.666666666667</v>
      </c>
      <c r="D183" s="230">
        <f>IFERROR(+D182/C182,"-")</f>
        <v>1.7818181818181817</v>
      </c>
      <c r="E183" s="17">
        <f>IFERROR(C183*D183,"-")</f>
        <v>6176.969696969697</v>
      </c>
      <c r="I183" s="84"/>
      <c r="J183" s="84"/>
    </row>
    <row r="184" spans="1:10" ht="13.5" customHeight="1" x14ac:dyDescent="0.2">
      <c r="A184" s="15" t="s">
        <v>231</v>
      </c>
      <c r="B184" s="16" t="s">
        <v>17</v>
      </c>
      <c r="C184" s="97">
        <v>4.75</v>
      </c>
      <c r="D184" s="87">
        <v>8.6</v>
      </c>
      <c r="E184" s="17"/>
      <c r="G184" s="106"/>
      <c r="H184" s="51"/>
      <c r="I184" s="84"/>
      <c r="J184" s="84"/>
    </row>
    <row r="185" spans="1:10" ht="13.5" customHeight="1" x14ac:dyDescent="0.2">
      <c r="A185" s="15" t="s">
        <v>18</v>
      </c>
      <c r="B185" s="16" t="s">
        <v>16</v>
      </c>
      <c r="C185" s="91">
        <f>C183</f>
        <v>3466.666666666667</v>
      </c>
      <c r="D185" s="178">
        <f>+C184*D184/1000</f>
        <v>4.0850000000000004E-2</v>
      </c>
      <c r="E185" s="17">
        <f>C185*D185</f>
        <v>141.61333333333337</v>
      </c>
      <c r="G185" s="106"/>
      <c r="H185" s="51"/>
      <c r="I185" s="84"/>
      <c r="J185" s="84"/>
    </row>
    <row r="186" spans="1:10" ht="13.5" customHeight="1" x14ac:dyDescent="0.2">
      <c r="A186" s="15" t="s">
        <v>232</v>
      </c>
      <c r="B186" s="16" t="s">
        <v>17</v>
      </c>
      <c r="C186" s="97">
        <v>0.68</v>
      </c>
      <c r="D186" s="87">
        <v>9.4</v>
      </c>
      <c r="E186" s="17"/>
      <c r="G186" s="106"/>
      <c r="H186" s="51"/>
      <c r="I186" s="84"/>
      <c r="J186" s="84"/>
    </row>
    <row r="187" spans="1:10" ht="13.5" customHeight="1" x14ac:dyDescent="0.2">
      <c r="A187" s="15" t="s">
        <v>19</v>
      </c>
      <c r="B187" s="16" t="s">
        <v>16</v>
      </c>
      <c r="C187" s="91">
        <f>C183</f>
        <v>3466.666666666667</v>
      </c>
      <c r="D187" s="178">
        <f>+C186*D186/1000</f>
        <v>6.3920000000000001E-3</v>
      </c>
      <c r="E187" s="17">
        <f>C187*D187</f>
        <v>22.158933333333337</v>
      </c>
      <c r="G187" s="106"/>
      <c r="H187" s="51"/>
      <c r="I187" s="84"/>
      <c r="J187" s="84"/>
    </row>
    <row r="188" spans="1:10" ht="13.5" customHeight="1" x14ac:dyDescent="0.2">
      <c r="A188" s="15" t="s">
        <v>233</v>
      </c>
      <c r="B188" s="16" t="s">
        <v>17</v>
      </c>
      <c r="C188" s="97">
        <v>4.3</v>
      </c>
      <c r="D188" s="87">
        <v>8</v>
      </c>
      <c r="E188" s="17"/>
      <c r="G188" s="106"/>
      <c r="H188" s="51"/>
      <c r="I188" s="84"/>
      <c r="J188" s="84"/>
    </row>
    <row r="189" spans="1:10" ht="13.5" customHeight="1" x14ac:dyDescent="0.2">
      <c r="A189" s="15" t="s">
        <v>20</v>
      </c>
      <c r="B189" s="16" t="s">
        <v>16</v>
      </c>
      <c r="C189" s="91">
        <f>C183</f>
        <v>3466.666666666667</v>
      </c>
      <c r="D189" s="178">
        <f>+C188*D188/1000</f>
        <v>3.44E-2</v>
      </c>
      <c r="E189" s="17">
        <f>C189*D189</f>
        <v>119.25333333333334</v>
      </c>
      <c r="G189" s="106"/>
      <c r="H189" s="51"/>
      <c r="I189" s="84"/>
      <c r="J189" s="84"/>
    </row>
    <row r="190" spans="1:10" ht="13.5" customHeight="1" x14ac:dyDescent="0.2">
      <c r="A190" s="15" t="s">
        <v>21</v>
      </c>
      <c r="B190" s="16" t="s">
        <v>22</v>
      </c>
      <c r="C190" s="97">
        <v>1.63</v>
      </c>
      <c r="D190" s="87">
        <v>11.1</v>
      </c>
      <c r="E190" s="17"/>
      <c r="G190" s="106"/>
      <c r="H190" s="51"/>
      <c r="I190" s="84"/>
      <c r="J190" s="84"/>
    </row>
    <row r="191" spans="1:10" ht="13.5" customHeight="1" x14ac:dyDescent="0.2">
      <c r="A191" s="15" t="s">
        <v>23</v>
      </c>
      <c r="B191" s="16" t="s">
        <v>16</v>
      </c>
      <c r="C191" s="91">
        <f>C183</f>
        <v>3466.666666666667</v>
      </c>
      <c r="D191" s="178">
        <f>+C190*D190/1000</f>
        <v>1.8093000000000001E-2</v>
      </c>
      <c r="E191" s="17">
        <f>C191*D191</f>
        <v>62.722400000000007</v>
      </c>
      <c r="G191" s="106"/>
      <c r="H191" s="51"/>
      <c r="I191" s="84"/>
      <c r="J191" s="84"/>
    </row>
    <row r="192" spans="1:10" ht="13.5" customHeight="1" thickBot="1" x14ac:dyDescent="0.25">
      <c r="A192" s="100" t="s">
        <v>244</v>
      </c>
      <c r="B192" s="101" t="s">
        <v>117</v>
      </c>
      <c r="C192" s="179"/>
      <c r="D192" s="180">
        <f>IFERROR(D183+D185+D187+D189+D191,0)</f>
        <v>1.8815531818181817</v>
      </c>
      <c r="E192" s="17"/>
      <c r="G192" s="106"/>
      <c r="H192" s="51"/>
      <c r="I192" s="84"/>
      <c r="J192" s="84"/>
    </row>
    <row r="193" spans="1:10" ht="13.5" customHeight="1" thickBot="1" x14ac:dyDescent="0.25">
      <c r="F193" s="20">
        <f>SUM(E182:E191)</f>
        <v>6522.7176969696966</v>
      </c>
      <c r="I193" s="84"/>
      <c r="J193" s="84"/>
    </row>
    <row r="194" spans="1:10" ht="13.5" customHeight="1" x14ac:dyDescent="0.2">
      <c r="I194" s="84"/>
      <c r="J194" s="84"/>
    </row>
    <row r="195" spans="1:10" ht="13.5" customHeight="1" thickBot="1" x14ac:dyDescent="0.25">
      <c r="A195" s="6" t="s">
        <v>50</v>
      </c>
      <c r="I195" s="84"/>
      <c r="J195" s="84"/>
    </row>
    <row r="196" spans="1:10" ht="13.5" customHeight="1" thickBot="1" x14ac:dyDescent="0.25">
      <c r="A196" s="59" t="s">
        <v>61</v>
      </c>
      <c r="B196" s="60" t="s">
        <v>62</v>
      </c>
      <c r="C196" s="60" t="s">
        <v>38</v>
      </c>
      <c r="D196" s="61" t="s">
        <v>230</v>
      </c>
      <c r="E196" s="61" t="s">
        <v>63</v>
      </c>
      <c r="F196" s="62" t="s">
        <v>64</v>
      </c>
      <c r="I196" s="84"/>
      <c r="J196" s="84"/>
    </row>
    <row r="197" spans="1:10" ht="13.5" customHeight="1" thickBot="1" x14ac:dyDescent="0.25">
      <c r="A197" s="12" t="s">
        <v>115</v>
      </c>
      <c r="B197" s="13" t="s">
        <v>117</v>
      </c>
      <c r="C197" s="91">
        <f>C183</f>
        <v>3466.666666666667</v>
      </c>
      <c r="D197" s="86">
        <v>0.74</v>
      </c>
      <c r="E197" s="14">
        <f>C197*D197</f>
        <v>2565.3333333333335</v>
      </c>
      <c r="I197" s="84"/>
      <c r="J197" s="84"/>
    </row>
    <row r="198" spans="1:10" ht="13.5" customHeight="1" thickBot="1" x14ac:dyDescent="0.25">
      <c r="F198" s="20">
        <f>E197</f>
        <v>2565.3333333333335</v>
      </c>
      <c r="I198" s="84"/>
      <c r="J198" s="84"/>
    </row>
    <row r="199" spans="1:10" ht="13.5" customHeight="1" x14ac:dyDescent="0.2">
      <c r="I199" s="84"/>
      <c r="J199" s="84"/>
    </row>
    <row r="200" spans="1:10" ht="13.5" customHeight="1" thickBot="1" x14ac:dyDescent="0.25">
      <c r="A200" s="6" t="s">
        <v>59</v>
      </c>
      <c r="I200" s="84"/>
      <c r="J200" s="84"/>
    </row>
    <row r="201" spans="1:10" ht="13.5" customHeight="1" thickBot="1" x14ac:dyDescent="0.25">
      <c r="A201" s="59" t="s">
        <v>61</v>
      </c>
      <c r="B201" s="60" t="s">
        <v>62</v>
      </c>
      <c r="C201" s="60" t="s">
        <v>38</v>
      </c>
      <c r="D201" s="61" t="s">
        <v>230</v>
      </c>
      <c r="E201" s="61" t="s">
        <v>63</v>
      </c>
      <c r="F201" s="62" t="s">
        <v>64</v>
      </c>
      <c r="I201" s="84"/>
      <c r="J201" s="84"/>
    </row>
    <row r="202" spans="1:10" ht="13.5" customHeight="1" x14ac:dyDescent="0.2">
      <c r="A202" s="198" t="s">
        <v>319</v>
      </c>
      <c r="B202" s="13" t="s">
        <v>8</v>
      </c>
      <c r="C202" s="93">
        <v>6</v>
      </c>
      <c r="D202" s="86">
        <v>1690</v>
      </c>
      <c r="E202" s="14">
        <f>C202*D202</f>
        <v>10140</v>
      </c>
      <c r="I202" s="84"/>
      <c r="J202" s="84"/>
    </row>
    <row r="203" spans="1:10" ht="13.5" customHeight="1" x14ac:dyDescent="0.2">
      <c r="A203" s="12" t="s">
        <v>118</v>
      </c>
      <c r="B203" s="13" t="s">
        <v>8</v>
      </c>
      <c r="C203" s="93">
        <v>2</v>
      </c>
      <c r="D203" s="103"/>
      <c r="E203" s="14"/>
      <c r="I203" s="84"/>
      <c r="J203" s="84"/>
    </row>
    <row r="204" spans="1:10" ht="13.5" customHeight="1" x14ac:dyDescent="0.2">
      <c r="A204" s="12" t="s">
        <v>69</v>
      </c>
      <c r="B204" s="13" t="s">
        <v>8</v>
      </c>
      <c r="C204" s="14">
        <f>C202*C203</f>
        <v>12</v>
      </c>
      <c r="D204" s="86">
        <v>422.5</v>
      </c>
      <c r="E204" s="14">
        <f>C204*D204</f>
        <v>5070</v>
      </c>
      <c r="I204" s="84"/>
      <c r="J204" s="84"/>
    </row>
    <row r="205" spans="1:10" ht="13.5" customHeight="1" x14ac:dyDescent="0.2">
      <c r="A205" s="197" t="s">
        <v>323</v>
      </c>
      <c r="B205" s="16" t="s">
        <v>24</v>
      </c>
      <c r="C205" s="96">
        <v>45000</v>
      </c>
      <c r="D205" s="17">
        <f>E202+E204</f>
        <v>15210</v>
      </c>
      <c r="E205" s="17">
        <f>IFERROR(D205/C205,"-")</f>
        <v>0.33800000000000002</v>
      </c>
      <c r="I205" s="84"/>
      <c r="J205" s="84"/>
    </row>
    <row r="206" spans="1:10" ht="13.5" customHeight="1" thickBot="1" x14ac:dyDescent="0.25">
      <c r="A206" s="15" t="s">
        <v>52</v>
      </c>
      <c r="B206" s="16" t="s">
        <v>16</v>
      </c>
      <c r="C206" s="91">
        <f>B179</f>
        <v>3466.666666666667</v>
      </c>
      <c r="D206" s="17">
        <f>E205</f>
        <v>0.33800000000000002</v>
      </c>
      <c r="E206" s="17">
        <f>IFERROR(C206*D206,0)</f>
        <v>1171.7333333333336</v>
      </c>
      <c r="I206" s="84"/>
      <c r="J206" s="84"/>
    </row>
    <row r="207" spans="1:10" ht="13.5" customHeight="1" thickBot="1" x14ac:dyDescent="0.25">
      <c r="F207" s="20">
        <f>E206</f>
        <v>1171.7333333333336</v>
      </c>
      <c r="I207" s="84"/>
      <c r="J207" s="84"/>
    </row>
    <row r="208" spans="1:10" ht="13.5" customHeight="1" thickBot="1" x14ac:dyDescent="0.25">
      <c r="G208" s="8"/>
    </row>
    <row r="209" spans="1:7" ht="13.5" customHeight="1" thickBot="1" x14ac:dyDescent="0.25">
      <c r="A209" s="23" t="s">
        <v>221</v>
      </c>
      <c r="B209" s="24"/>
      <c r="C209" s="24"/>
      <c r="D209" s="25"/>
      <c r="E209" s="26"/>
      <c r="F209" s="202">
        <f>+SUM(F140:F208)</f>
        <v>14075.556991136364</v>
      </c>
      <c r="G209" s="8"/>
    </row>
    <row r="210" spans="1:7" ht="13.5" customHeight="1" x14ac:dyDescent="0.2">
      <c r="A210" s="458"/>
      <c r="B210" s="458"/>
      <c r="C210" s="458"/>
      <c r="D210" s="199"/>
      <c r="E210" s="199"/>
      <c r="F210" s="196"/>
      <c r="G210" s="8"/>
    </row>
    <row r="211" spans="1:7" ht="13.5" customHeight="1" x14ac:dyDescent="0.2">
      <c r="A211" s="461"/>
      <c r="B211" s="461"/>
      <c r="C211" s="461"/>
      <c r="D211" s="445"/>
      <c r="E211" s="445"/>
      <c r="F211" s="445"/>
      <c r="G211" s="8"/>
    </row>
    <row r="212" spans="1:7" ht="13.5" customHeight="1" thickBot="1" x14ac:dyDescent="0.25">
      <c r="A212" s="33" t="s">
        <v>73</v>
      </c>
      <c r="B212" s="33"/>
      <c r="C212" s="33"/>
      <c r="D212" s="34"/>
      <c r="E212" s="34"/>
      <c r="F212" s="32"/>
      <c r="G212" s="8"/>
    </row>
    <row r="213" spans="1:7" ht="13.5" customHeight="1" thickBot="1" x14ac:dyDescent="0.25">
      <c r="G213" s="8"/>
    </row>
    <row r="214" spans="1:7" ht="13.5" customHeight="1" thickBot="1" x14ac:dyDescent="0.25">
      <c r="A214" s="59" t="s">
        <v>61</v>
      </c>
      <c r="B214" s="60" t="s">
        <v>62</v>
      </c>
      <c r="C214" s="60" t="s">
        <v>38</v>
      </c>
      <c r="D214" s="61" t="s">
        <v>230</v>
      </c>
      <c r="E214" s="61" t="s">
        <v>63</v>
      </c>
      <c r="F214" s="62" t="s">
        <v>64</v>
      </c>
      <c r="G214" s="8"/>
    </row>
    <row r="215" spans="1:7" ht="13.5" customHeight="1" x14ac:dyDescent="0.2">
      <c r="A215" s="15" t="s">
        <v>70</v>
      </c>
      <c r="B215" s="16" t="s">
        <v>8</v>
      </c>
      <c r="C215" s="98">
        <v>0.33333333333333331</v>
      </c>
      <c r="D215" s="86">
        <v>33.6</v>
      </c>
      <c r="E215" s="17">
        <f>C215*D215</f>
        <v>11.2</v>
      </c>
      <c r="F215" s="54"/>
      <c r="G215" s="8"/>
    </row>
    <row r="216" spans="1:7" ht="13.5" customHeight="1" x14ac:dyDescent="0.2">
      <c r="A216" s="15" t="s">
        <v>26</v>
      </c>
      <c r="B216" s="16" t="s">
        <v>8</v>
      </c>
      <c r="C216" s="98">
        <v>0.25</v>
      </c>
      <c r="D216" s="86">
        <v>20.7</v>
      </c>
      <c r="E216" s="17">
        <f>C216*D216</f>
        <v>5.1749999999999998</v>
      </c>
      <c r="F216" s="54"/>
      <c r="G216" s="8"/>
    </row>
    <row r="217" spans="1:7" ht="13.5" customHeight="1" x14ac:dyDescent="0.2">
      <c r="A217" s="15" t="s">
        <v>27</v>
      </c>
      <c r="B217" s="16" t="s">
        <v>8</v>
      </c>
      <c r="C217" s="98">
        <v>0.5</v>
      </c>
      <c r="D217" s="86">
        <v>15</v>
      </c>
      <c r="E217" s="17">
        <f>C217*D217</f>
        <v>7.5</v>
      </c>
      <c r="F217" s="54"/>
      <c r="G217" s="8"/>
    </row>
    <row r="218" spans="1:7" ht="13.5" customHeight="1" x14ac:dyDescent="0.2">
      <c r="A218" s="15" t="s">
        <v>54</v>
      </c>
      <c r="B218" s="16" t="s">
        <v>55</v>
      </c>
      <c r="C218" s="98">
        <v>8.3333333333333329E-2</v>
      </c>
      <c r="D218" s="86">
        <v>205</v>
      </c>
      <c r="E218" s="17">
        <f>C218*D218</f>
        <v>17.083333333333332</v>
      </c>
      <c r="F218" s="54"/>
      <c r="G218" s="8"/>
    </row>
    <row r="219" spans="1:7" ht="13.5" customHeight="1" thickBot="1" x14ac:dyDescent="0.25">
      <c r="A219" s="15" t="s">
        <v>57</v>
      </c>
      <c r="B219" s="16" t="s">
        <v>55</v>
      </c>
      <c r="C219" s="98">
        <v>8.3333333333333329E-2</v>
      </c>
      <c r="D219" s="86">
        <v>206.7</v>
      </c>
      <c r="E219" s="17">
        <f>C219*D219</f>
        <v>17.224999999999998</v>
      </c>
      <c r="F219" s="54"/>
      <c r="G219" s="8"/>
    </row>
    <row r="220" spans="1:7" ht="13.5" customHeight="1" thickBot="1" x14ac:dyDescent="0.25">
      <c r="A220" s="33"/>
      <c r="B220" s="33"/>
      <c r="C220" s="33"/>
      <c r="D220" s="33"/>
      <c r="E220" s="34"/>
      <c r="F220" s="20">
        <f>SUM(E215:E219)</f>
        <v>58.183333333333323</v>
      </c>
      <c r="G220" s="8"/>
    </row>
    <row r="221" spans="1:7" ht="13.5" customHeight="1" thickBot="1" x14ac:dyDescent="0.25">
      <c r="G221" s="8"/>
    </row>
    <row r="222" spans="1:7" ht="13.5" customHeight="1" thickBot="1" x14ac:dyDescent="0.25">
      <c r="A222" s="23" t="s">
        <v>222</v>
      </c>
      <c r="B222" s="24"/>
      <c r="C222" s="24"/>
      <c r="D222" s="25"/>
      <c r="E222" s="26"/>
      <c r="F222" s="20">
        <f>+F220</f>
        <v>58.183333333333323</v>
      </c>
      <c r="G222" s="8"/>
    </row>
    <row r="223" spans="1:7" ht="13.5" customHeight="1" x14ac:dyDescent="0.2">
      <c r="A223" s="33"/>
      <c r="B223" s="33"/>
      <c r="C223" s="33"/>
      <c r="D223" s="203"/>
      <c r="E223" s="203"/>
      <c r="F223" s="196"/>
      <c r="G223" s="8"/>
    </row>
    <row r="224" spans="1:7" ht="13.5" customHeight="1" x14ac:dyDescent="0.2">
      <c r="G224" s="8"/>
    </row>
    <row r="225" spans="1:7" ht="13.5" customHeight="1" thickBot="1" x14ac:dyDescent="0.25">
      <c r="A225" s="33" t="s">
        <v>74</v>
      </c>
      <c r="B225" s="33"/>
      <c r="C225" s="33"/>
      <c r="D225" s="34"/>
      <c r="E225" s="34"/>
      <c r="F225" s="32"/>
    </row>
    <row r="226" spans="1:7" ht="13.5" customHeight="1" thickBot="1" x14ac:dyDescent="0.25"/>
    <row r="227" spans="1:7" ht="13.5" customHeight="1" thickBot="1" x14ac:dyDescent="0.25">
      <c r="A227" s="59" t="s">
        <v>61</v>
      </c>
      <c r="B227" s="60" t="s">
        <v>62</v>
      </c>
      <c r="C227" s="60" t="s">
        <v>38</v>
      </c>
      <c r="D227" s="61" t="s">
        <v>230</v>
      </c>
      <c r="E227" s="61" t="s">
        <v>63</v>
      </c>
      <c r="F227" s="62" t="s">
        <v>64</v>
      </c>
    </row>
    <row r="228" spans="1:7" ht="13.5" customHeight="1" x14ac:dyDescent="0.2">
      <c r="A228" s="15" t="s">
        <v>219</v>
      </c>
      <c r="B228" s="52" t="s">
        <v>55</v>
      </c>
      <c r="C228" s="68">
        <f>C140</f>
        <v>1</v>
      </c>
      <c r="D228" s="87">
        <v>514.5</v>
      </c>
      <c r="E228" s="17">
        <f>+D228*C228</f>
        <v>514.5</v>
      </c>
      <c r="F228" s="54"/>
    </row>
    <row r="229" spans="1:7" ht="13.5" customHeight="1" x14ac:dyDescent="0.2">
      <c r="A229" s="15" t="s">
        <v>58</v>
      </c>
      <c r="B229" s="52" t="s">
        <v>6</v>
      </c>
      <c r="C229" s="140">
        <v>60</v>
      </c>
      <c r="D229" s="228">
        <f>SUM(E228:E228)</f>
        <v>514.5</v>
      </c>
      <c r="E229" s="79">
        <f>+D229/C229</f>
        <v>8.5749999999999993</v>
      </c>
      <c r="F229" s="54"/>
    </row>
    <row r="230" spans="1:7" ht="13.5" customHeight="1" x14ac:dyDescent="0.2">
      <c r="A230" s="15" t="s">
        <v>220</v>
      </c>
      <c r="B230" s="16" t="s">
        <v>8</v>
      </c>
      <c r="C230" s="68">
        <f>+C228</f>
        <v>1</v>
      </c>
      <c r="D230" s="229">
        <v>72</v>
      </c>
      <c r="E230" s="17">
        <f>C230*D230</f>
        <v>72</v>
      </c>
      <c r="F230" s="54"/>
    </row>
    <row r="231" spans="1:7" ht="13.5" customHeight="1" thickBot="1" x14ac:dyDescent="0.25">
      <c r="A231" s="15" t="s">
        <v>35</v>
      </c>
      <c r="B231" s="52" t="s">
        <v>6</v>
      </c>
      <c r="C231" s="140">
        <v>1</v>
      </c>
      <c r="D231" s="228">
        <f>+E230</f>
        <v>72</v>
      </c>
      <c r="E231" s="79">
        <f>+D231/C231</f>
        <v>72</v>
      </c>
      <c r="F231" s="54"/>
    </row>
    <row r="232" spans="1:7" ht="13.5" customHeight="1" thickBot="1" x14ac:dyDescent="0.25">
      <c r="A232" s="80"/>
      <c r="B232" s="80"/>
      <c r="C232" s="80"/>
      <c r="D232" s="117" t="s">
        <v>194</v>
      </c>
      <c r="E232" s="49">
        <f>$B$44</f>
        <v>1</v>
      </c>
      <c r="F232" s="81">
        <f>(E229+E231)*E232</f>
        <v>80.575000000000003</v>
      </c>
    </row>
    <row r="233" spans="1:7" s="50" customFormat="1" ht="13.5" customHeight="1" thickBot="1" x14ac:dyDescent="0.25">
      <c r="A233" s="8"/>
      <c r="B233" s="8"/>
      <c r="C233" s="8"/>
      <c r="D233" s="9"/>
      <c r="E233" s="9"/>
      <c r="F233" s="9"/>
      <c r="G233" s="83"/>
    </row>
    <row r="234" spans="1:7" ht="13.5" customHeight="1" thickBot="1" x14ac:dyDescent="0.25">
      <c r="A234" s="23" t="s">
        <v>218</v>
      </c>
      <c r="B234" s="24"/>
      <c r="C234" s="24"/>
      <c r="D234" s="25"/>
      <c r="E234" s="26"/>
      <c r="F234" s="20">
        <f>+F232</f>
        <v>80.575000000000003</v>
      </c>
    </row>
    <row r="235" spans="1:7" ht="13.5" customHeight="1" x14ac:dyDescent="0.2">
      <c r="A235" s="33"/>
      <c r="B235" s="33"/>
      <c r="C235" s="33"/>
      <c r="D235" s="203"/>
      <c r="E235" s="203"/>
      <c r="F235" s="196"/>
    </row>
    <row r="236" spans="1:7" ht="13.5" customHeight="1" thickBot="1" x14ac:dyDescent="0.25"/>
    <row r="237" spans="1:7" ht="15.75" customHeight="1" thickBot="1" x14ac:dyDescent="0.25">
      <c r="A237" s="23" t="s">
        <v>223</v>
      </c>
      <c r="B237" s="27"/>
      <c r="C237" s="27"/>
      <c r="D237" s="28"/>
      <c r="E237" s="29"/>
      <c r="F237" s="21">
        <f>+F99+F131+F209+F222+F234</f>
        <v>31233.080394839828</v>
      </c>
    </row>
    <row r="238" spans="1:7" ht="13.5" customHeight="1" x14ac:dyDescent="0.2">
      <c r="A238" s="33"/>
      <c r="B238" s="53"/>
      <c r="C238" s="53"/>
      <c r="D238" s="58"/>
      <c r="E238" s="58"/>
      <c r="F238" s="199"/>
    </row>
    <row r="239" spans="1:7" ht="13.5" customHeight="1" x14ac:dyDescent="0.2"/>
    <row r="240" spans="1:7" ht="13.5" customHeight="1" x14ac:dyDescent="0.2">
      <c r="A240" s="10" t="s">
        <v>89</v>
      </c>
    </row>
    <row r="241" spans="1:7" ht="13.5" customHeight="1" thickBot="1" x14ac:dyDescent="0.25"/>
    <row r="242" spans="1:7" ht="13.5" customHeight="1" thickBot="1" x14ac:dyDescent="0.25">
      <c r="A242" s="59" t="s">
        <v>61</v>
      </c>
      <c r="B242" s="60" t="s">
        <v>62</v>
      </c>
      <c r="C242" s="60" t="s">
        <v>38</v>
      </c>
      <c r="D242" s="61" t="s">
        <v>230</v>
      </c>
      <c r="E242" s="61" t="s">
        <v>63</v>
      </c>
      <c r="F242" s="62" t="s">
        <v>64</v>
      </c>
    </row>
    <row r="243" spans="1:7" ht="13.5" customHeight="1" thickBot="1" x14ac:dyDescent="0.25">
      <c r="A243" s="12" t="s">
        <v>34</v>
      </c>
      <c r="B243" s="13" t="s">
        <v>1</v>
      </c>
      <c r="C243" s="130">
        <f>'4.BDI'!C14*100</f>
        <v>26.669999999999998</v>
      </c>
      <c r="D243" s="14">
        <f>+F237</f>
        <v>31233.080394839828</v>
      </c>
      <c r="E243" s="14">
        <f>C243*D243/100</f>
        <v>8329.8625413037807</v>
      </c>
    </row>
    <row r="244" spans="1:7" ht="13.5" customHeight="1" thickBot="1" x14ac:dyDescent="0.25">
      <c r="F244" s="20">
        <f>+E243</f>
        <v>8329.8625413037807</v>
      </c>
    </row>
    <row r="245" spans="1:7" ht="13.5" customHeight="1" thickBot="1" x14ac:dyDescent="0.25"/>
    <row r="246" spans="1:7" ht="15.75" customHeight="1" thickBot="1" x14ac:dyDescent="0.25">
      <c r="A246" s="23" t="s">
        <v>235</v>
      </c>
      <c r="B246" s="27"/>
      <c r="C246" s="27"/>
      <c r="D246" s="28"/>
      <c r="E246" s="29"/>
      <c r="F246" s="21">
        <f>F244</f>
        <v>8329.8625413037807</v>
      </c>
    </row>
    <row r="247" spans="1:7" ht="13.5" customHeight="1" x14ac:dyDescent="0.2">
      <c r="A247" s="33"/>
      <c r="B247" s="33"/>
      <c r="C247" s="33"/>
      <c r="D247" s="34"/>
      <c r="E247" s="34"/>
      <c r="F247" s="32"/>
    </row>
    <row r="248" spans="1:7" ht="13.5" customHeight="1" thickBot="1" x14ac:dyDescent="0.25"/>
    <row r="249" spans="1:7" ht="15.75" customHeight="1" thickBot="1" x14ac:dyDescent="0.25">
      <c r="A249" s="23" t="s">
        <v>224</v>
      </c>
      <c r="B249" s="27"/>
      <c r="C249" s="27"/>
      <c r="D249" s="28"/>
      <c r="E249" s="29"/>
      <c r="F249" s="21">
        <f>F237+F246</f>
        <v>39562.942936143605</v>
      </c>
    </row>
    <row r="250" spans="1:7" ht="13.5" customHeight="1" x14ac:dyDescent="0.2">
      <c r="A250" s="7"/>
      <c r="B250" s="7"/>
      <c r="C250" s="7"/>
      <c r="D250" s="35"/>
      <c r="E250" s="35"/>
    </row>
    <row r="251" spans="1:7" ht="13.5" customHeight="1" x14ac:dyDescent="0.2">
      <c r="A251" s="163" t="s">
        <v>217</v>
      </c>
      <c r="B251" s="164"/>
      <c r="C251" s="164"/>
      <c r="D251" s="165">
        <f>'7. Dimensionamento'!C10</f>
        <v>180.89500895999998</v>
      </c>
      <c r="E251" s="166" t="s">
        <v>25</v>
      </c>
      <c r="G251" s="9" t="s">
        <v>202</v>
      </c>
    </row>
    <row r="252" spans="1:7" ht="13.5" customHeight="1" thickBot="1" x14ac:dyDescent="0.25"/>
    <row r="253" spans="1:7" ht="15.75" customHeight="1" thickBot="1" x14ac:dyDescent="0.25">
      <c r="A253" s="23" t="s">
        <v>68</v>
      </c>
      <c r="B253" s="24"/>
      <c r="C253" s="24"/>
      <c r="D253" s="25"/>
      <c r="E253" s="167" t="s">
        <v>32</v>
      </c>
      <c r="F253" s="168">
        <f>IFERROR(F249/D251,"-")</f>
        <v>218.70665842909946</v>
      </c>
      <c r="G253" s="9" t="s">
        <v>202</v>
      </c>
    </row>
    <row r="254" spans="1:7" ht="13.5" customHeight="1" x14ac:dyDescent="0.2">
      <c r="A254" s="33"/>
      <c r="B254" s="33"/>
      <c r="C254" s="33"/>
      <c r="D254" s="34"/>
      <c r="E254" s="34"/>
      <c r="F254" s="34"/>
    </row>
    <row r="255" spans="1:7" s="4" customFormat="1" ht="13.5" customHeight="1" x14ac:dyDescent="0.2">
      <c r="A255" s="38"/>
      <c r="B255" s="9"/>
      <c r="C255" s="9"/>
      <c r="D255" s="9"/>
      <c r="E255" s="9"/>
      <c r="F255" s="9"/>
      <c r="G255" s="5"/>
    </row>
    <row r="256" spans="1:7" s="4" customFormat="1" ht="13.5" customHeight="1" x14ac:dyDescent="0.2">
      <c r="A256" s="38"/>
      <c r="B256" s="9"/>
      <c r="C256" s="9"/>
      <c r="D256" s="9"/>
      <c r="E256" s="9"/>
      <c r="F256" s="9"/>
      <c r="G256" s="5"/>
    </row>
    <row r="257" spans="1:7" s="4" customFormat="1" ht="13.5" customHeight="1" x14ac:dyDescent="0.2">
      <c r="A257" s="38"/>
      <c r="B257" s="9"/>
      <c r="C257" s="9"/>
      <c r="D257" s="9"/>
      <c r="E257" s="9"/>
      <c r="F257" s="9"/>
      <c r="G257" s="5"/>
    </row>
    <row r="287" spans="4:7" ht="9" customHeight="1" x14ac:dyDescent="0.2">
      <c r="D287" s="8"/>
      <c r="E287" s="8"/>
      <c r="F287" s="8"/>
      <c r="G287" s="8"/>
    </row>
  </sheetData>
  <mergeCells count="7">
    <mergeCell ref="A1:F1"/>
    <mergeCell ref="A40:D40"/>
    <mergeCell ref="A4:F4"/>
    <mergeCell ref="A9:F9"/>
    <mergeCell ref="A18:C18"/>
    <mergeCell ref="A33:E33"/>
    <mergeCell ref="A35:D35"/>
  </mergeCells>
  <hyperlinks>
    <hyperlink ref="A154" location="AbaRemun" display="3.1.2. Remuneração do Capital"/>
    <hyperlink ref="A138" location="AbaDeprec" display="3.1.1. Depreciação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75" fitToHeight="0" orientation="portrait" r:id="rId1"/>
  <headerFooter>
    <oddFooter>&amp;R&amp;P de &amp;N</oddFooter>
  </headerFooter>
  <rowBreaks count="4" manualBreakCount="4">
    <brk id="46" max="5" man="1"/>
    <brk id="118" max="5" man="1"/>
    <brk id="177" max="5" man="1"/>
    <brk id="248" max="5" man="1"/>
  </rowBreaks>
  <ignoredErrors>
    <ignoredError sqref="E18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0"/>
  <sheetViews>
    <sheetView tabSelected="1" view="pageBreakPreview" topLeftCell="A258" zoomScaleNormal="100" zoomScaleSheetLayoutView="100" workbookViewId="0">
      <selection activeCell="A274" sqref="A274"/>
    </sheetView>
  </sheetViews>
  <sheetFormatPr defaultRowHeight="12.75" x14ac:dyDescent="0.2"/>
  <cols>
    <col min="1" max="1" width="44.5703125" style="8" customWidth="1"/>
    <col min="2" max="2" width="16" style="8" bestFit="1" customWidth="1"/>
    <col min="3" max="3" width="12.5703125" style="8" customWidth="1"/>
    <col min="4" max="4" width="14.7109375" style="9" customWidth="1"/>
    <col min="5" max="5" width="15.42578125" style="9" customWidth="1"/>
    <col min="6" max="6" width="13.28515625" style="9" customWidth="1"/>
    <col min="7" max="7" width="28.140625" style="9" customWidth="1"/>
    <col min="8" max="8" width="9.140625" style="8"/>
    <col min="9" max="9" width="14.5703125" style="8" customWidth="1"/>
    <col min="10" max="10" width="13.42578125" style="8" customWidth="1"/>
    <col min="11" max="16384" width="9.140625" style="8"/>
  </cols>
  <sheetData>
    <row r="1" spans="1:7" s="4" customFormat="1" ht="15.75" customHeight="1" x14ac:dyDescent="0.2">
      <c r="A1" s="394" t="s">
        <v>313</v>
      </c>
      <c r="B1" s="138"/>
      <c r="C1" s="138"/>
      <c r="D1" s="139"/>
      <c r="E1" s="139"/>
      <c r="F1" s="139"/>
      <c r="G1" s="5"/>
    </row>
    <row r="2" spans="1:7" s="4" customFormat="1" ht="15.75" customHeight="1" thickBot="1" x14ac:dyDescent="0.25">
      <c r="A2" s="395"/>
      <c r="B2" s="138"/>
      <c r="C2" s="138"/>
      <c r="D2" s="139"/>
      <c r="E2" s="139"/>
      <c r="F2" s="139"/>
      <c r="G2" s="5"/>
    </row>
    <row r="3" spans="1:7" s="4" customFormat="1" ht="15.75" customHeight="1" thickBot="1" x14ac:dyDescent="0.25">
      <c r="A3" s="412" t="s">
        <v>201</v>
      </c>
      <c r="B3" s="413"/>
      <c r="C3" s="413"/>
      <c r="D3" s="413"/>
      <c r="E3" s="413"/>
      <c r="F3" s="414"/>
      <c r="G3" s="5"/>
    </row>
    <row r="4" spans="1:7" s="4" customFormat="1" ht="15.75" customHeight="1" x14ac:dyDescent="0.2">
      <c r="A4" s="396" t="s">
        <v>200</v>
      </c>
      <c r="B4" s="397"/>
      <c r="C4" s="397"/>
      <c r="D4" s="398"/>
      <c r="E4" s="399" t="s">
        <v>36</v>
      </c>
      <c r="F4" s="400" t="s">
        <v>1</v>
      </c>
      <c r="G4" s="5"/>
    </row>
    <row r="5" spans="1:7" s="10" customFormat="1" ht="15.75" customHeight="1" x14ac:dyDescent="0.2">
      <c r="A5" s="119" t="str">
        <f>A62</f>
        <v>1. Mão-de-obra</v>
      </c>
      <c r="B5" s="120"/>
      <c r="C5" s="121"/>
      <c r="D5" s="121"/>
      <c r="E5" s="169">
        <f>+F127</f>
        <v>8409.9536495444499</v>
      </c>
      <c r="F5" s="122">
        <f t="shared" ref="F5:F32" si="0">IFERROR(E5/$E$38,0)</f>
        <v>0.14410452653357841</v>
      </c>
      <c r="G5" s="43"/>
    </row>
    <row r="6" spans="1:7" s="4" customFormat="1" ht="15.75" customHeight="1" x14ac:dyDescent="0.2">
      <c r="A6" s="48" t="str">
        <f>A64</f>
        <v>1.1. Coletor Turno Dia</v>
      </c>
      <c r="B6" s="44"/>
      <c r="C6" s="46"/>
      <c r="D6" s="46"/>
      <c r="E6" s="170">
        <f>F73</f>
        <v>3239.0488789679998</v>
      </c>
      <c r="F6" s="57">
        <f t="shared" si="0"/>
        <v>5.5501091275108883E-2</v>
      </c>
      <c r="G6" s="5"/>
    </row>
    <row r="7" spans="1:7" s="4" customFormat="1" ht="15.75" customHeight="1" x14ac:dyDescent="0.2">
      <c r="A7" s="48" t="str">
        <f>A75</f>
        <v>1.2 Motorista Turno do Dia - Caminhão de Coleta</v>
      </c>
      <c r="B7" s="44"/>
      <c r="C7" s="46"/>
      <c r="D7" s="46"/>
      <c r="E7" s="170">
        <f>F86</f>
        <v>2806.4191864027089</v>
      </c>
      <c r="F7" s="57">
        <f t="shared" si="0"/>
        <v>4.8087982997768272E-2</v>
      </c>
      <c r="G7" s="5"/>
    </row>
    <row r="8" spans="1:7" s="4" customFormat="1" ht="15.75" customHeight="1" x14ac:dyDescent="0.2">
      <c r="A8" s="48" t="str">
        <f>A88</f>
        <v>1.3. Motorista Turno do Dia - Caminhão Higienizador</v>
      </c>
      <c r="B8" s="44"/>
      <c r="C8" s="46"/>
      <c r="D8" s="46"/>
      <c r="E8" s="170">
        <f>F99</f>
        <v>961.10246109681816</v>
      </c>
      <c r="F8" s="57">
        <f t="shared" si="0"/>
        <v>1.6468487328002834E-2</v>
      </c>
      <c r="G8" s="5"/>
    </row>
    <row r="9" spans="1:7" s="4" customFormat="1" ht="15.75" customHeight="1" x14ac:dyDescent="0.2">
      <c r="A9" s="48" t="str">
        <f>A101</f>
        <v>1.4. Vale Transporte</v>
      </c>
      <c r="B9" s="44"/>
      <c r="C9" s="46"/>
      <c r="D9" s="46"/>
      <c r="E9" s="170">
        <f>F107</f>
        <v>151.3245230769231</v>
      </c>
      <c r="F9" s="57">
        <f t="shared" si="0"/>
        <v>2.5929451765885512E-3</v>
      </c>
      <c r="G9" s="5"/>
    </row>
    <row r="10" spans="1:7" s="4" customFormat="1" ht="15.75" customHeight="1" x14ac:dyDescent="0.2">
      <c r="A10" s="48" t="str">
        <f>A109</f>
        <v>1.5. Vale-refeição (diário)</v>
      </c>
      <c r="B10" s="44"/>
      <c r="C10" s="46"/>
      <c r="D10" s="46"/>
      <c r="E10" s="170">
        <f>F113</f>
        <v>743.6</v>
      </c>
      <c r="F10" s="57">
        <f t="shared" si="0"/>
        <v>1.2741583413622422E-2</v>
      </c>
      <c r="G10" s="5"/>
    </row>
    <row r="11" spans="1:7" s="4" customFormat="1" ht="15.75" customHeight="1" x14ac:dyDescent="0.2">
      <c r="A11" s="48" t="str">
        <f>A115</f>
        <v>1.6. Auxílio-lanche (diário)</v>
      </c>
      <c r="B11" s="44"/>
      <c r="C11" s="46"/>
      <c r="D11" s="46"/>
      <c r="E11" s="170">
        <f>F119</f>
        <v>448</v>
      </c>
      <c r="F11" s="57">
        <f t="shared" si="0"/>
        <v>7.6764784417735947E-3</v>
      </c>
      <c r="G11" s="5"/>
    </row>
    <row r="12" spans="1:7" s="4" customFormat="1" ht="15.75" customHeight="1" x14ac:dyDescent="0.2">
      <c r="A12" s="48" t="str">
        <f>A121</f>
        <v>1.7. Auxílio Alimentação (mensal)</v>
      </c>
      <c r="B12" s="44"/>
      <c r="C12" s="46"/>
      <c r="D12" s="46"/>
      <c r="E12" s="170">
        <f>F125</f>
        <v>60.458599999999997</v>
      </c>
      <c r="F12" s="57">
        <f t="shared" si="0"/>
        <v>1.0359579007138684E-3</v>
      </c>
      <c r="G12" s="5"/>
    </row>
    <row r="13" spans="1:7" s="10" customFormat="1" ht="15.75" customHeight="1" x14ac:dyDescent="0.2">
      <c r="A13" s="415" t="str">
        <f>A130</f>
        <v>2. Uniformes e Equipamentos de Proteção Individual</v>
      </c>
      <c r="B13" s="416"/>
      <c r="C13" s="416"/>
      <c r="D13" s="121"/>
      <c r="E13" s="169">
        <f>+F173</f>
        <v>394.33333333333331</v>
      </c>
      <c r="F13" s="122">
        <f t="shared" si="0"/>
        <v>6.7569002951027987E-3</v>
      </c>
      <c r="G13" s="43"/>
    </row>
    <row r="14" spans="1:7" s="10" customFormat="1" ht="15.75" customHeight="1" x14ac:dyDescent="0.2">
      <c r="A14" s="128" t="str">
        <f>A176</f>
        <v>3. Veículos e Equipamentos</v>
      </c>
      <c r="B14" s="129"/>
      <c r="C14" s="121"/>
      <c r="D14" s="121"/>
      <c r="E14" s="169">
        <f>+F354</f>
        <v>37131.111814530552</v>
      </c>
      <c r="F14" s="122">
        <f t="shared" si="0"/>
        <v>0.63624147179314416</v>
      </c>
      <c r="G14" s="43"/>
    </row>
    <row r="15" spans="1:7" s="4" customFormat="1" ht="15.75" customHeight="1" x14ac:dyDescent="0.2">
      <c r="A15" s="64" t="str">
        <f>A178</f>
        <v>3.1. Veículo Coletor Compactador - Truck 19 m³</v>
      </c>
      <c r="B15" s="45"/>
      <c r="C15" s="46"/>
      <c r="D15" s="46"/>
      <c r="E15" s="170">
        <f>SUM(E16:E21)</f>
        <v>19963.473215884711</v>
      </c>
      <c r="F15" s="133">
        <f t="shared" si="0"/>
        <v>0.3420740441175526</v>
      </c>
      <c r="G15" s="5"/>
    </row>
    <row r="16" spans="1:7" s="4" customFormat="1" ht="15.75" customHeight="1" x14ac:dyDescent="0.2">
      <c r="A16" s="64" t="str">
        <f>A180</f>
        <v>3.1.1. Depreciação</v>
      </c>
      <c r="B16" s="45"/>
      <c r="C16" s="46"/>
      <c r="D16" s="46"/>
      <c r="E16" s="170">
        <f>F194</f>
        <v>4817.5889941833339</v>
      </c>
      <c r="F16" s="133">
        <f t="shared" si="0"/>
        <v>8.2549370658870747E-2</v>
      </c>
      <c r="G16" s="5"/>
    </row>
    <row r="17" spans="1:7" s="4" customFormat="1" ht="15.75" customHeight="1" x14ac:dyDescent="0.2">
      <c r="A17" s="64" t="str">
        <f>A196</f>
        <v>3.1.2. Remuneração do Capital</v>
      </c>
      <c r="B17" s="45"/>
      <c r="C17" s="46"/>
      <c r="D17" s="46"/>
      <c r="E17" s="170">
        <f>F210</f>
        <v>3395.1400400347079</v>
      </c>
      <c r="F17" s="133">
        <f t="shared" si="0"/>
        <v>5.8175712777073153E-2</v>
      </c>
      <c r="G17" s="5"/>
    </row>
    <row r="18" spans="1:7" s="4" customFormat="1" ht="15.75" customHeight="1" x14ac:dyDescent="0.2">
      <c r="A18" s="64" t="str">
        <f>A212</f>
        <v>3.1.3. Impostos e Seguros</v>
      </c>
      <c r="B18" s="45"/>
      <c r="C18" s="46"/>
      <c r="D18" s="46"/>
      <c r="E18" s="170">
        <f>F218</f>
        <v>304.52740833333337</v>
      </c>
      <c r="F18" s="133">
        <f t="shared" si="0"/>
        <v>5.2180760825893263E-3</v>
      </c>
      <c r="G18" s="5"/>
    </row>
    <row r="19" spans="1:7" s="4" customFormat="1" ht="15.75" customHeight="1" x14ac:dyDescent="0.2">
      <c r="A19" s="64" t="str">
        <f>A220</f>
        <v>3.1.4. Consumos</v>
      </c>
      <c r="B19" s="45"/>
      <c r="C19" s="46"/>
      <c r="D19" s="46"/>
      <c r="E19" s="170">
        <f>F235</f>
        <v>5569.5234400000008</v>
      </c>
      <c r="F19" s="133">
        <f t="shared" si="0"/>
        <v>9.5433764772573024E-2</v>
      </c>
      <c r="G19" s="5"/>
    </row>
    <row r="20" spans="1:7" s="4" customFormat="1" ht="15.75" customHeight="1" x14ac:dyDescent="0.2">
      <c r="A20" s="64" t="str">
        <f>A237</f>
        <v>3.1.5. Manutenção</v>
      </c>
      <c r="B20" s="45"/>
      <c r="C20" s="46"/>
      <c r="D20" s="46"/>
      <c r="E20" s="170">
        <f>F240</f>
        <v>4353.4400000000005</v>
      </c>
      <c r="F20" s="133">
        <f t="shared" si="0"/>
        <v>7.4596179257934908E-2</v>
      </c>
      <c r="G20" s="5"/>
    </row>
    <row r="21" spans="1:7" s="4" customFormat="1" ht="15.75" customHeight="1" x14ac:dyDescent="0.2">
      <c r="A21" s="64" t="str">
        <f>A242</f>
        <v>3.1.6. Pneus</v>
      </c>
      <c r="B21" s="45"/>
      <c r="C21" s="46"/>
      <c r="D21" s="46"/>
      <c r="E21" s="170">
        <f>F249</f>
        <v>1523.2533333333333</v>
      </c>
      <c r="F21" s="133">
        <f t="shared" si="0"/>
        <v>2.6100940568511383E-2</v>
      </c>
      <c r="G21" s="5"/>
    </row>
    <row r="22" spans="1:7" s="4" customFormat="1" ht="15.75" customHeight="1" x14ac:dyDescent="0.2">
      <c r="A22" s="207" t="str">
        <f>A252</f>
        <v>3.2. Veículo Higienizador - Truck 15 m³</v>
      </c>
      <c r="B22" s="45"/>
      <c r="C22" s="46"/>
      <c r="D22" s="46"/>
      <c r="E22" s="227">
        <f>SUM(E23:E28)</f>
        <v>5278.4505986458335</v>
      </c>
      <c r="F22" s="133">
        <f t="shared" si="0"/>
        <v>9.0446232648374245E-2</v>
      </c>
      <c r="G22" s="5"/>
    </row>
    <row r="23" spans="1:7" s="4" customFormat="1" ht="15.75" customHeight="1" x14ac:dyDescent="0.2">
      <c r="A23" s="207" t="str">
        <f>A254</f>
        <v>3.2.1. Depreciação</v>
      </c>
      <c r="B23" s="45"/>
      <c r="C23" s="46"/>
      <c r="D23" s="46"/>
      <c r="E23" s="170">
        <f>F268</f>
        <v>1906.9223750000003</v>
      </c>
      <c r="F23" s="133">
        <f t="shared" si="0"/>
        <v>3.2675108262998222E-2</v>
      </c>
      <c r="G23" s="5"/>
    </row>
    <row r="24" spans="1:7" s="4" customFormat="1" ht="15.75" customHeight="1" x14ac:dyDescent="0.2">
      <c r="A24" s="4" t="str">
        <f>+A269</f>
        <v xml:space="preserve"> 3.2.2. Remuneração do Capital</v>
      </c>
      <c r="B24" s="45"/>
      <c r="C24" s="46"/>
      <c r="D24" s="46"/>
      <c r="E24" s="170">
        <f>F283</f>
        <v>1343.8814553125001</v>
      </c>
      <c r="F24" s="133">
        <f t="shared" si="0"/>
        <v>2.3027404062512791E-2</v>
      </c>
      <c r="G24" s="5"/>
    </row>
    <row r="25" spans="1:7" s="4" customFormat="1" ht="15.75" customHeight="1" x14ac:dyDescent="0.2">
      <c r="A25" s="207" t="str">
        <f>A285</f>
        <v>3.2.3. Impostos e Seguros</v>
      </c>
      <c r="B25" s="45"/>
      <c r="C25" s="46"/>
      <c r="D25" s="46"/>
      <c r="E25" s="170">
        <f>F291</f>
        <v>104.29020833333334</v>
      </c>
      <c r="F25" s="133">
        <f t="shared" si="0"/>
        <v>1.787012357051139E-3</v>
      </c>
      <c r="G25" s="5"/>
    </row>
    <row r="26" spans="1:7" s="4" customFormat="1" ht="15.75" customHeight="1" x14ac:dyDescent="0.2">
      <c r="A26" s="207" t="str">
        <f>A293</f>
        <v>3.2.4. Consumos</v>
      </c>
      <c r="B26" s="45"/>
      <c r="C26" s="46"/>
      <c r="D26" s="46"/>
      <c r="E26" s="170">
        <f>F308</f>
        <v>1021.62856</v>
      </c>
      <c r="F26" s="133">
        <f t="shared" si="0"/>
        <v>1.7505601822187949E-2</v>
      </c>
      <c r="G26" s="5"/>
    </row>
    <row r="27" spans="1:7" s="4" customFormat="1" ht="15.75" customHeight="1" x14ac:dyDescent="0.2">
      <c r="A27" s="207" t="str">
        <f>A310</f>
        <v>3.2.5. Manutenção</v>
      </c>
      <c r="B27" s="45"/>
      <c r="C27" s="46"/>
      <c r="D27" s="46"/>
      <c r="E27" s="170">
        <f>F313</f>
        <v>734.08</v>
      </c>
      <c r="F27" s="133">
        <f t="shared" si="0"/>
        <v>1.2578458246734734E-2</v>
      </c>
      <c r="G27" s="5"/>
    </row>
    <row r="28" spans="1:7" s="4" customFormat="1" ht="15.75" customHeight="1" x14ac:dyDescent="0.2">
      <c r="A28" s="207" t="str">
        <f>A315</f>
        <v>3.2.6. Pneus</v>
      </c>
      <c r="B28" s="45"/>
      <c r="C28" s="46"/>
      <c r="D28" s="46"/>
      <c r="E28" s="170">
        <f>F322</f>
        <v>167.64800000000002</v>
      </c>
      <c r="F28" s="133">
        <f t="shared" si="0"/>
        <v>2.8726478968894189E-3</v>
      </c>
      <c r="G28" s="5"/>
    </row>
    <row r="29" spans="1:7" s="4" customFormat="1" ht="15.75" customHeight="1" x14ac:dyDescent="0.2">
      <c r="A29" s="207" t="str">
        <f>A325</f>
        <v>3.3. Contêineres</v>
      </c>
      <c r="B29" s="45"/>
      <c r="C29" s="46"/>
      <c r="D29" s="46"/>
      <c r="E29" s="170">
        <f>SUM(E30:E32)</f>
        <v>9558.2814553125008</v>
      </c>
      <c r="F29" s="133">
        <f t="shared" si="0"/>
        <v>0.16378111949131866</v>
      </c>
      <c r="G29" s="5"/>
    </row>
    <row r="30" spans="1:7" s="4" customFormat="1" ht="15.75" customHeight="1" x14ac:dyDescent="0.2">
      <c r="A30" s="207" t="str">
        <f>A327</f>
        <v>3.3.1. Depreciação</v>
      </c>
      <c r="B30" s="45"/>
      <c r="C30" s="46"/>
      <c r="D30" s="46"/>
      <c r="E30" s="170">
        <f>F336</f>
        <v>5214.4000000000005</v>
      </c>
      <c r="F30" s="133">
        <f t="shared" si="0"/>
        <v>8.9348725863357667E-2</v>
      </c>
      <c r="G30" s="5"/>
    </row>
    <row r="31" spans="1:7" s="4" customFormat="1" ht="15.75" customHeight="1" x14ac:dyDescent="0.2">
      <c r="A31" s="207" t="str">
        <f>A338</f>
        <v>3.3.2. Remuneração do Capital</v>
      </c>
      <c r="B31" s="45"/>
      <c r="C31" s="46"/>
      <c r="D31" s="46"/>
      <c r="E31" s="170">
        <f>F283</f>
        <v>1343.8814553125001</v>
      </c>
      <c r="F31" s="133">
        <f t="shared" si="0"/>
        <v>2.3027404062512791E-2</v>
      </c>
      <c r="G31" s="5"/>
    </row>
    <row r="32" spans="1:7" s="4" customFormat="1" ht="15.75" customHeight="1" x14ac:dyDescent="0.2">
      <c r="A32" s="207" t="str">
        <f>A349</f>
        <v>3.3.3. Manutenção</v>
      </c>
      <c r="B32" s="45"/>
      <c r="C32" s="46"/>
      <c r="D32" s="46"/>
      <c r="E32" s="170">
        <f>F352</f>
        <v>3000</v>
      </c>
      <c r="F32" s="133">
        <f t="shared" si="0"/>
        <v>5.1404989565448179E-2</v>
      </c>
      <c r="G32" s="5"/>
    </row>
    <row r="33" spans="1:7" s="10" customFormat="1" ht="15.75" customHeight="1" x14ac:dyDescent="0.2">
      <c r="A33" s="128" t="str">
        <f>A357</f>
        <v>4. Ferramentas e Materiais de Consumo</v>
      </c>
      <c r="B33" s="129"/>
      <c r="C33" s="121"/>
      <c r="D33" s="121"/>
      <c r="E33" s="169">
        <f>+F367</f>
        <v>58.183333333333323</v>
      </c>
      <c r="F33" s="122">
        <f>IFERROR(E33/$E$38,0)</f>
        <v>9.969712142943309E-4</v>
      </c>
      <c r="G33" s="43"/>
    </row>
    <row r="34" spans="1:7" s="10" customFormat="1" ht="15.75" customHeight="1" x14ac:dyDescent="0.2">
      <c r="A34" s="128" t="str">
        <f>A370</f>
        <v>5. Monitoramento da Frota</v>
      </c>
      <c r="B34" s="129"/>
      <c r="C34" s="121"/>
      <c r="D34" s="121"/>
      <c r="E34" s="169">
        <f>+F388</f>
        <v>78.963499999999996</v>
      </c>
      <c r="F34" s="122">
        <f>IFERROR(E34/$E$38,0)</f>
        <v>1.3530392978504224E-3</v>
      </c>
      <c r="G34" s="43"/>
    </row>
    <row r="35" spans="1:7" s="10" customFormat="1" ht="15.75" customHeight="1" x14ac:dyDescent="0.2">
      <c r="A35" s="207" t="str">
        <f>A372</f>
        <v>5.1. Veículo Coletor Compactador - Truck 19 m³</v>
      </c>
      <c r="B35" s="223"/>
      <c r="C35" s="224"/>
      <c r="D35" s="224"/>
      <c r="E35" s="225">
        <f>F378</f>
        <v>58.819749999999999</v>
      </c>
      <c r="F35" s="226">
        <f t="shared" ref="F35:F36" si="1">IFERROR(E35/$E$38,0)</f>
        <v>1.0078762116640901E-3</v>
      </c>
      <c r="G35" s="43"/>
    </row>
    <row r="36" spans="1:7" s="10" customFormat="1" ht="15.75" customHeight="1" x14ac:dyDescent="0.2">
      <c r="A36" s="207" t="str">
        <f>A380</f>
        <v>5.2. Veículo Higienizador - Truck 15 m³</v>
      </c>
      <c r="B36" s="223"/>
      <c r="C36" s="224"/>
      <c r="D36" s="224"/>
      <c r="E36" s="225">
        <f>F386</f>
        <v>20.143750000000001</v>
      </c>
      <c r="F36" s="226">
        <f t="shared" si="1"/>
        <v>3.4516308618633227E-4</v>
      </c>
      <c r="G36" s="43"/>
    </row>
    <row r="37" spans="1:7" s="10" customFormat="1" ht="15.75" customHeight="1" thickBot="1" x14ac:dyDescent="0.25">
      <c r="A37" s="128" t="str">
        <f>A394</f>
        <v>6. Benefícios e Despesas Indiretas - BDI</v>
      </c>
      <c r="B37" s="129"/>
      <c r="C37" s="121"/>
      <c r="D37" s="121"/>
      <c r="E37" s="171">
        <f>+F400</f>
        <v>12287.547919718803</v>
      </c>
      <c r="F37" s="122">
        <f>IFERROR(E37/$E$38,0)</f>
        <v>0.21054709086602985</v>
      </c>
      <c r="G37" s="43"/>
    </row>
    <row r="38" spans="1:7" s="4" customFormat="1" ht="15.75" customHeight="1" thickBot="1" x14ac:dyDescent="0.25">
      <c r="A38" s="41" t="s">
        <v>234</v>
      </c>
      <c r="B38" s="42"/>
      <c r="C38" s="25"/>
      <c r="D38" s="25"/>
      <c r="E38" s="109">
        <f>E5+E13+E14+E33+E34+E37</f>
        <v>58360.093550460471</v>
      </c>
      <c r="F38" s="132">
        <f>F5+F13+F14+F33+F34+F37</f>
        <v>1</v>
      </c>
      <c r="G38" s="5"/>
    </row>
    <row r="40" spans="1:7" ht="13.5" thickBot="1" x14ac:dyDescent="0.25"/>
    <row r="41" spans="1:7" s="4" customFormat="1" ht="15" customHeight="1" thickBot="1" x14ac:dyDescent="0.25">
      <c r="A41" s="412" t="s">
        <v>95</v>
      </c>
      <c r="B41" s="413"/>
      <c r="C41" s="413"/>
      <c r="D41" s="413"/>
      <c r="E41" s="414"/>
      <c r="F41" s="9"/>
      <c r="G41" s="5"/>
    </row>
    <row r="42" spans="1:7" s="440" customFormat="1" ht="15" customHeight="1" thickBot="1" x14ac:dyDescent="0.25">
      <c r="A42" s="444"/>
      <c r="B42" s="444"/>
      <c r="C42" s="444"/>
      <c r="D42" s="444"/>
      <c r="E42" s="444"/>
      <c r="F42" s="438"/>
      <c r="G42" s="439"/>
    </row>
    <row r="43" spans="1:7" s="4" customFormat="1" ht="15" customHeight="1" thickBot="1" x14ac:dyDescent="0.25">
      <c r="A43" s="462" t="s">
        <v>37</v>
      </c>
      <c r="B43" s="463"/>
      <c r="C43" s="463"/>
      <c r="D43" s="464"/>
      <c r="E43" s="47" t="s">
        <v>38</v>
      </c>
      <c r="F43" s="9"/>
      <c r="G43" s="5"/>
    </row>
    <row r="44" spans="1:7" s="4" customFormat="1" ht="15" customHeight="1" x14ac:dyDescent="0.2">
      <c r="A44" s="72" t="str">
        <f>+A64</f>
        <v>1.1. Coletor Turno Dia</v>
      </c>
      <c r="B44" s="73"/>
      <c r="C44" s="73"/>
      <c r="D44" s="74"/>
      <c r="E44" s="75">
        <f>C72</f>
        <v>1</v>
      </c>
      <c r="F44" s="9"/>
      <c r="G44" s="5"/>
    </row>
    <row r="45" spans="1:7" s="4" customFormat="1" ht="15" customHeight="1" x14ac:dyDescent="0.2">
      <c r="A45" s="66" t="str">
        <f>+A75</f>
        <v>1.2 Motorista Turno do Dia - Caminhão de Coleta</v>
      </c>
      <c r="B45" s="65"/>
      <c r="C45" s="65"/>
      <c r="D45" s="76"/>
      <c r="E45" s="69">
        <f>C85</f>
        <v>1</v>
      </c>
      <c r="F45" s="9"/>
      <c r="G45" s="5"/>
    </row>
    <row r="46" spans="1:7" s="4" customFormat="1" ht="15" customHeight="1" thickBot="1" x14ac:dyDescent="0.25">
      <c r="A46" s="465" t="str">
        <f>A88</f>
        <v>1.3. Motorista Turno do Dia - Caminhão Higienizador</v>
      </c>
      <c r="B46" s="466"/>
      <c r="C46" s="466"/>
      <c r="D46" s="467"/>
      <c r="E46" s="468">
        <f>C98</f>
        <v>1</v>
      </c>
      <c r="F46" s="9"/>
      <c r="G46" s="5"/>
    </row>
    <row r="47" spans="1:7" s="4" customFormat="1" ht="15" customHeight="1" thickBot="1" x14ac:dyDescent="0.25">
      <c r="A47" s="173" t="s">
        <v>56</v>
      </c>
      <c r="B47" s="469"/>
      <c r="C47" s="469"/>
      <c r="D47" s="470"/>
      <c r="E47" s="471">
        <f>SUM(E44:E45)</f>
        <v>2</v>
      </c>
      <c r="F47" s="9"/>
      <c r="G47" s="5"/>
    </row>
    <row r="48" spans="1:7" s="4" customFormat="1" ht="15" customHeight="1" thickBot="1" x14ac:dyDescent="0.25">
      <c r="A48" s="203"/>
      <c r="B48" s="123"/>
      <c r="C48" s="58"/>
      <c r="D48" s="58"/>
      <c r="E48" s="58"/>
      <c r="F48" s="9"/>
      <c r="G48" s="5"/>
    </row>
    <row r="49" spans="1:7" s="4" customFormat="1" ht="15" customHeight="1" thickBot="1" x14ac:dyDescent="0.25">
      <c r="A49" s="420" t="s">
        <v>295</v>
      </c>
      <c r="B49" s="421"/>
      <c r="C49" s="421"/>
      <c r="D49" s="421"/>
      <c r="E49" s="220" t="s">
        <v>38</v>
      </c>
      <c r="F49" s="8"/>
      <c r="G49" s="5"/>
    </row>
    <row r="50" spans="1:7" s="4" customFormat="1" ht="15" customHeight="1" x14ac:dyDescent="0.2">
      <c r="A50" s="217" t="str">
        <f>+A178</f>
        <v>3.1. Veículo Coletor Compactador - Truck 19 m³</v>
      </c>
      <c r="B50" s="218"/>
      <c r="C50" s="218"/>
      <c r="D50" s="12"/>
      <c r="E50" s="219">
        <f>C193</f>
        <v>1</v>
      </c>
      <c r="F50" s="8"/>
      <c r="G50" s="5"/>
    </row>
    <row r="51" spans="1:7" s="4" customFormat="1" ht="15" customHeight="1" thickBot="1" x14ac:dyDescent="0.25">
      <c r="A51" s="472" t="str">
        <f>A252</f>
        <v>3.2. Veículo Higienizador - Truck 15 m³</v>
      </c>
      <c r="B51" s="473"/>
      <c r="C51" s="473"/>
      <c r="D51" s="474"/>
      <c r="E51" s="468">
        <f>C267</f>
        <v>1</v>
      </c>
      <c r="F51" s="8"/>
      <c r="G51" s="5"/>
    </row>
    <row r="52" spans="1:7" s="4" customFormat="1" ht="15" customHeight="1" thickBot="1" x14ac:dyDescent="0.25">
      <c r="A52" s="475" t="s">
        <v>294</v>
      </c>
      <c r="B52" s="460"/>
      <c r="C52" s="460"/>
      <c r="D52" s="459"/>
      <c r="E52" s="471">
        <f>SUM(E50:E51)</f>
        <v>2</v>
      </c>
      <c r="F52" s="8"/>
      <c r="G52" s="5"/>
    </row>
    <row r="53" spans="1:7" s="4" customFormat="1" ht="15" customHeight="1" thickBot="1" x14ac:dyDescent="0.25">
      <c r="A53" s="204"/>
      <c r="B53" s="58"/>
      <c r="C53" s="58"/>
      <c r="D53" s="53"/>
      <c r="E53" s="162"/>
      <c r="F53" s="8"/>
      <c r="G53" s="5"/>
    </row>
    <row r="54" spans="1:7" s="4" customFormat="1" ht="15" customHeight="1" thickBot="1" x14ac:dyDescent="0.25">
      <c r="A54" s="420" t="s">
        <v>296</v>
      </c>
      <c r="B54" s="421"/>
      <c r="C54" s="421"/>
      <c r="D54" s="421"/>
      <c r="E54" s="220" t="s">
        <v>38</v>
      </c>
      <c r="F54" s="8"/>
      <c r="G54" s="5"/>
    </row>
    <row r="55" spans="1:7" s="4" customFormat="1" ht="15" customHeight="1" thickBot="1" x14ac:dyDescent="0.25">
      <c r="A55" s="476" t="str">
        <f>A325</f>
        <v>3.3. Contêineres</v>
      </c>
      <c r="B55" s="477"/>
      <c r="C55" s="477"/>
      <c r="D55" s="478"/>
      <c r="E55" s="456">
        <f>C335</f>
        <v>150</v>
      </c>
      <c r="F55" s="8"/>
      <c r="G55" s="5"/>
    </row>
    <row r="56" spans="1:7" s="4" customFormat="1" ht="15" customHeight="1" thickBot="1" x14ac:dyDescent="0.25">
      <c r="A56" s="475" t="s">
        <v>294</v>
      </c>
      <c r="B56" s="460"/>
      <c r="C56" s="460"/>
      <c r="D56" s="459"/>
      <c r="E56" s="471">
        <f>SUM(E55:E55)</f>
        <v>150</v>
      </c>
      <c r="F56" s="8"/>
      <c r="G56" s="5"/>
    </row>
    <row r="57" spans="1:7" s="4" customFormat="1" ht="15" customHeight="1" x14ac:dyDescent="0.2">
      <c r="A57" s="58"/>
      <c r="B57" s="58"/>
      <c r="C57" s="58"/>
      <c r="D57" s="53"/>
      <c r="E57" s="162"/>
      <c r="F57" s="8"/>
      <c r="G57" s="5"/>
    </row>
    <row r="58" spans="1:7" s="4" customFormat="1" ht="13.5" thickBot="1" x14ac:dyDescent="0.25">
      <c r="A58" s="58"/>
      <c r="B58" s="58"/>
      <c r="C58" s="58"/>
      <c r="D58" s="53"/>
      <c r="E58" s="67"/>
      <c r="F58" s="8"/>
      <c r="G58" s="5"/>
    </row>
    <row r="59" spans="1:7" s="10" customFormat="1" ht="15.75" customHeight="1" thickBot="1" x14ac:dyDescent="0.25">
      <c r="A59" s="173" t="s">
        <v>195</v>
      </c>
      <c r="B59" s="174">
        <v>1</v>
      </c>
      <c r="C59" s="34"/>
      <c r="D59" s="33"/>
      <c r="E59" s="141"/>
      <c r="G59" s="43"/>
    </row>
    <row r="60" spans="1:7" s="10" customFormat="1" ht="15.75" customHeight="1" x14ac:dyDescent="0.2">
      <c r="A60" s="203"/>
      <c r="B60" s="479"/>
      <c r="C60" s="203"/>
      <c r="D60" s="33"/>
      <c r="E60" s="141"/>
      <c r="G60" s="43"/>
    </row>
    <row r="61" spans="1:7" s="4" customFormat="1" ht="15.75" customHeight="1" x14ac:dyDescent="0.2">
      <c r="A61" s="58"/>
      <c r="B61" s="58"/>
      <c r="C61" s="58"/>
      <c r="D61" s="53"/>
      <c r="E61" s="67"/>
      <c r="F61" s="8"/>
      <c r="G61" s="5"/>
    </row>
    <row r="62" spans="1:7" ht="13.5" customHeight="1" x14ac:dyDescent="0.2">
      <c r="A62" s="10" t="s">
        <v>44</v>
      </c>
    </row>
    <row r="63" spans="1:7" ht="13.5" customHeight="1" x14ac:dyDescent="0.2"/>
    <row r="64" spans="1:7" ht="13.5" customHeight="1" thickBot="1" x14ac:dyDescent="0.25">
      <c r="A64" s="8" t="s">
        <v>96</v>
      </c>
    </row>
    <row r="65" spans="1:7" s="404" customFormat="1" ht="13.5" customHeight="1" thickBot="1" x14ac:dyDescent="0.25">
      <c r="A65" s="59" t="s">
        <v>61</v>
      </c>
      <c r="B65" s="60" t="s">
        <v>62</v>
      </c>
      <c r="C65" s="60" t="s">
        <v>38</v>
      </c>
      <c r="D65" s="205" t="s">
        <v>230</v>
      </c>
      <c r="E65" s="205" t="s">
        <v>63</v>
      </c>
      <c r="F65" s="206" t="s">
        <v>64</v>
      </c>
      <c r="G65" s="201"/>
    </row>
    <row r="66" spans="1:7" s="404" customFormat="1" ht="13.5" customHeight="1" x14ac:dyDescent="0.2">
      <c r="A66" s="198" t="s">
        <v>210</v>
      </c>
      <c r="B66" s="221" t="s">
        <v>6</v>
      </c>
      <c r="C66" s="221">
        <v>1</v>
      </c>
      <c r="D66" s="448">
        <v>1221.8800000000001</v>
      </c>
      <c r="E66" s="449">
        <f>C66*D66</f>
        <v>1221.8800000000001</v>
      </c>
      <c r="F66" s="201"/>
      <c r="G66" s="201"/>
    </row>
    <row r="67" spans="1:7" s="404" customFormat="1" ht="13.5" customHeight="1" x14ac:dyDescent="0.2">
      <c r="A67" s="405" t="s">
        <v>338</v>
      </c>
      <c r="B67" s="406" t="s">
        <v>339</v>
      </c>
      <c r="C67" s="407">
        <v>8.6999999999999993</v>
      </c>
      <c r="D67" s="228">
        <f>D66/220*2</f>
        <v>11.108000000000001</v>
      </c>
      <c r="E67" s="228">
        <f>C67*D67</f>
        <v>96.639600000000002</v>
      </c>
      <c r="F67" s="201"/>
      <c r="G67" s="201" t="s">
        <v>340</v>
      </c>
    </row>
    <row r="68" spans="1:7" s="404" customFormat="1" ht="13.5" customHeight="1" x14ac:dyDescent="0.2">
      <c r="A68" s="405" t="s">
        <v>0</v>
      </c>
      <c r="B68" s="406" t="s">
        <v>1</v>
      </c>
      <c r="C68" s="406">
        <v>40</v>
      </c>
      <c r="D68" s="447">
        <f>SUM(E66:E67)</f>
        <v>1318.5196000000001</v>
      </c>
      <c r="E68" s="228">
        <f>C68*D68/100</f>
        <v>527.40783999999996</v>
      </c>
      <c r="F68" s="201"/>
      <c r="G68" s="201"/>
    </row>
    <row r="69" spans="1:7" s="404" customFormat="1" ht="13.5" customHeight="1" x14ac:dyDescent="0.2">
      <c r="A69" s="111" t="s">
        <v>2</v>
      </c>
      <c r="B69" s="112"/>
      <c r="C69" s="112"/>
      <c r="D69" s="211"/>
      <c r="E69" s="212">
        <f>SUM(E66:E68)</f>
        <v>1845.9274399999999</v>
      </c>
      <c r="F69" s="201"/>
      <c r="G69" s="201"/>
    </row>
    <row r="70" spans="1:7" s="404" customFormat="1" ht="13.5" customHeight="1" x14ac:dyDescent="0.2">
      <c r="A70" s="405" t="s">
        <v>3</v>
      </c>
      <c r="B70" s="406" t="s">
        <v>1</v>
      </c>
      <c r="C70" s="130">
        <f>'2.Encargos Sociais'!$C$35*100</f>
        <v>75.47</v>
      </c>
      <c r="D70" s="228">
        <f>E69</f>
        <v>1845.9274399999999</v>
      </c>
      <c r="E70" s="228">
        <f>D70*C70/100</f>
        <v>1393.1214389679999</v>
      </c>
      <c r="F70" s="201"/>
      <c r="G70" s="201"/>
    </row>
    <row r="71" spans="1:7" s="404" customFormat="1" ht="13.5" customHeight="1" x14ac:dyDescent="0.2">
      <c r="A71" s="111" t="s">
        <v>71</v>
      </c>
      <c r="B71" s="112"/>
      <c r="C71" s="112"/>
      <c r="D71" s="211"/>
      <c r="E71" s="212">
        <f>E69+E70</f>
        <v>3239.0488789679998</v>
      </c>
      <c r="F71" s="201"/>
      <c r="G71" s="201"/>
    </row>
    <row r="72" spans="1:7" s="404" customFormat="1" ht="13.5" customHeight="1" thickBot="1" x14ac:dyDescent="0.25">
      <c r="A72" s="405" t="s">
        <v>4</v>
      </c>
      <c r="B72" s="406" t="s">
        <v>5</v>
      </c>
      <c r="C72" s="451">
        <v>1</v>
      </c>
      <c r="D72" s="228">
        <f>E71</f>
        <v>3239.0488789679998</v>
      </c>
      <c r="E72" s="228">
        <f>C72*D72</f>
        <v>3239.0488789679998</v>
      </c>
      <c r="F72" s="201"/>
      <c r="G72" s="5"/>
    </row>
    <row r="73" spans="1:7" s="404" customFormat="1" ht="13.5" customHeight="1" thickBot="1" x14ac:dyDescent="0.25">
      <c r="D73" s="452" t="s">
        <v>194</v>
      </c>
      <c r="E73" s="453">
        <v>1</v>
      </c>
      <c r="F73" s="213">
        <f>E72*E73</f>
        <v>3239.0488789679998</v>
      </c>
      <c r="G73" s="5"/>
    </row>
    <row r="74" spans="1:7" ht="13.5" customHeight="1" x14ac:dyDescent="0.2"/>
    <row r="75" spans="1:7" ht="13.5" customHeight="1" thickBot="1" x14ac:dyDescent="0.25">
      <c r="A75" s="6" t="s">
        <v>284</v>
      </c>
    </row>
    <row r="76" spans="1:7" s="11" customFormat="1" ht="13.5" customHeight="1" thickBot="1" x14ac:dyDescent="0.25">
      <c r="A76" s="59" t="s">
        <v>61</v>
      </c>
      <c r="B76" s="60" t="s">
        <v>62</v>
      </c>
      <c r="C76" s="60" t="s">
        <v>38</v>
      </c>
      <c r="D76" s="61" t="s">
        <v>230</v>
      </c>
      <c r="E76" s="61" t="s">
        <v>63</v>
      </c>
      <c r="F76" s="62" t="s">
        <v>64</v>
      </c>
      <c r="G76" s="9"/>
    </row>
    <row r="77" spans="1:7" s="404" customFormat="1" ht="13.5" customHeight="1" x14ac:dyDescent="0.2">
      <c r="A77" s="198" t="s">
        <v>212</v>
      </c>
      <c r="B77" s="221" t="s">
        <v>6</v>
      </c>
      <c r="C77" s="221">
        <v>1</v>
      </c>
      <c r="D77" s="448">
        <v>1648.74</v>
      </c>
      <c r="E77" s="449">
        <f>C77*D77</f>
        <v>1648.74</v>
      </c>
      <c r="F77" s="201"/>
      <c r="G77" s="201"/>
    </row>
    <row r="78" spans="1:7" s="404" customFormat="1" ht="13.5" customHeight="1" x14ac:dyDescent="0.2">
      <c r="A78" s="198" t="s">
        <v>213</v>
      </c>
      <c r="B78" s="221" t="s">
        <v>6</v>
      </c>
      <c r="C78" s="221">
        <v>1</v>
      </c>
      <c r="D78" s="448">
        <v>954</v>
      </c>
      <c r="E78" s="449"/>
      <c r="F78" s="201"/>
      <c r="G78" s="201"/>
    </row>
    <row r="79" spans="1:7" s="404" customFormat="1" ht="13.5" customHeight="1" x14ac:dyDescent="0.2">
      <c r="A79" s="405" t="s">
        <v>338</v>
      </c>
      <c r="B79" s="406" t="s">
        <v>339</v>
      </c>
      <c r="C79" s="407">
        <v>8.6999999999999993</v>
      </c>
      <c r="D79" s="228">
        <f>D77/220*2</f>
        <v>14.988545454545454</v>
      </c>
      <c r="E79" s="228">
        <f>C79*D79</f>
        <v>130.40034545454543</v>
      </c>
      <c r="F79" s="201"/>
      <c r="G79" s="201" t="s">
        <v>340</v>
      </c>
    </row>
    <row r="80" spans="1:7" s="404" customFormat="1" ht="13.5" customHeight="1" x14ac:dyDescent="0.2">
      <c r="A80" s="405" t="s">
        <v>211</v>
      </c>
      <c r="B80" s="406"/>
      <c r="C80" s="454">
        <v>1</v>
      </c>
      <c r="D80" s="228"/>
      <c r="E80" s="228"/>
      <c r="F80" s="201"/>
      <c r="G80" s="201"/>
    </row>
    <row r="81" spans="1:7" s="404" customFormat="1" ht="13.5" customHeight="1" x14ac:dyDescent="0.2">
      <c r="A81" s="405" t="s">
        <v>0</v>
      </c>
      <c r="B81" s="406" t="s">
        <v>1</v>
      </c>
      <c r="C81" s="451">
        <v>40</v>
      </c>
      <c r="D81" s="447">
        <f>IF(C80=2,SUM(E77:E79),IF(C80=1,(SUM(E77:E79))*D78/D77,0))</f>
        <v>1029.4527272727273</v>
      </c>
      <c r="E81" s="228">
        <f>C81*D81/100</f>
        <v>411.78109090909095</v>
      </c>
      <c r="F81" s="201"/>
      <c r="G81" s="201"/>
    </row>
    <row r="82" spans="1:7" s="10" customFormat="1" ht="13.5" customHeight="1" x14ac:dyDescent="0.2">
      <c r="A82" s="100" t="s">
        <v>2</v>
      </c>
      <c r="B82" s="112"/>
      <c r="C82" s="112"/>
      <c r="D82" s="211"/>
      <c r="E82" s="208">
        <f>SUM(E77:E81)</f>
        <v>2190.9214363636365</v>
      </c>
      <c r="F82" s="43"/>
      <c r="G82" s="43"/>
    </row>
    <row r="83" spans="1:7" s="404" customFormat="1" ht="13.5" customHeight="1" x14ac:dyDescent="0.2">
      <c r="A83" s="405" t="s">
        <v>3</v>
      </c>
      <c r="B83" s="406" t="s">
        <v>1</v>
      </c>
      <c r="C83" s="130">
        <f>'2.Encargos Sociais'!$C$35*100</f>
        <v>75.47</v>
      </c>
      <c r="D83" s="228">
        <f>E82</f>
        <v>2190.9214363636365</v>
      </c>
      <c r="E83" s="228">
        <f>D83*C83/100</f>
        <v>1653.4884080236363</v>
      </c>
      <c r="F83" s="201"/>
      <c r="G83" s="201"/>
    </row>
    <row r="84" spans="1:7" s="10" customFormat="1" ht="13.5" customHeight="1" x14ac:dyDescent="0.2">
      <c r="A84" s="100" t="s">
        <v>242</v>
      </c>
      <c r="B84" s="175"/>
      <c r="C84" s="175"/>
      <c r="D84" s="176"/>
      <c r="E84" s="208">
        <f>E82+E83</f>
        <v>3844.4098443872726</v>
      </c>
      <c r="F84" s="43"/>
      <c r="G84" s="43"/>
    </row>
    <row r="85" spans="1:7" s="404" customFormat="1" ht="13.5" customHeight="1" thickBot="1" x14ac:dyDescent="0.25">
      <c r="A85" s="405" t="s">
        <v>4</v>
      </c>
      <c r="B85" s="406" t="s">
        <v>5</v>
      </c>
      <c r="C85" s="451">
        <v>1</v>
      </c>
      <c r="D85" s="228">
        <f>E84</f>
        <v>3844.4098443872726</v>
      </c>
      <c r="E85" s="228">
        <f>C85*D85</f>
        <v>3844.4098443872726</v>
      </c>
      <c r="F85" s="201"/>
      <c r="G85" s="201"/>
    </row>
    <row r="86" spans="1:7" s="404" customFormat="1" ht="13.5" customHeight="1" thickBot="1" x14ac:dyDescent="0.25">
      <c r="D86" s="452" t="s">
        <v>194</v>
      </c>
      <c r="E86" s="453">
        <v>0.73</v>
      </c>
      <c r="F86" s="213">
        <f>E85*E86</f>
        <v>2806.4191864027089</v>
      </c>
      <c r="G86" s="201"/>
    </row>
    <row r="87" spans="1:7" ht="13.5" customHeight="1" x14ac:dyDescent="0.2">
      <c r="D87" s="117"/>
      <c r="E87" s="58"/>
      <c r="F87" s="196"/>
    </row>
    <row r="88" spans="1:7" ht="13.5" customHeight="1" thickBot="1" x14ac:dyDescent="0.25">
      <c r="A88" s="6" t="s">
        <v>283</v>
      </c>
    </row>
    <row r="89" spans="1:7" ht="13.5" customHeight="1" thickBot="1" x14ac:dyDescent="0.25">
      <c r="A89" s="59" t="s">
        <v>61</v>
      </c>
      <c r="B89" s="60" t="s">
        <v>62</v>
      </c>
      <c r="C89" s="60" t="s">
        <v>38</v>
      </c>
      <c r="D89" s="61" t="s">
        <v>230</v>
      </c>
      <c r="E89" s="61" t="s">
        <v>63</v>
      </c>
      <c r="F89" s="62" t="s">
        <v>64</v>
      </c>
    </row>
    <row r="90" spans="1:7" ht="13.5" customHeight="1" x14ac:dyDescent="0.2">
      <c r="A90" s="198" t="s">
        <v>212</v>
      </c>
      <c r="B90" s="221" t="s">
        <v>6</v>
      </c>
      <c r="C90" s="221">
        <v>1</v>
      </c>
      <c r="D90" s="448">
        <v>1648.74</v>
      </c>
      <c r="E90" s="449">
        <f>C90*D90</f>
        <v>1648.74</v>
      </c>
      <c r="F90" s="201"/>
    </row>
    <row r="91" spans="1:7" ht="13.5" customHeight="1" x14ac:dyDescent="0.2">
      <c r="A91" s="198" t="s">
        <v>213</v>
      </c>
      <c r="B91" s="221" t="s">
        <v>6</v>
      </c>
      <c r="C91" s="221">
        <v>1</v>
      </c>
      <c r="D91" s="448">
        <v>954</v>
      </c>
      <c r="E91" s="449"/>
      <c r="F91" s="201"/>
    </row>
    <row r="92" spans="1:7" s="404" customFormat="1" ht="13.5" customHeight="1" x14ac:dyDescent="0.2">
      <c r="A92" s="405" t="s">
        <v>338</v>
      </c>
      <c r="B92" s="406" t="s">
        <v>339</v>
      </c>
      <c r="C92" s="407">
        <v>8.6999999999999993</v>
      </c>
      <c r="D92" s="228">
        <f>D90/220*2</f>
        <v>14.988545454545454</v>
      </c>
      <c r="E92" s="228">
        <f>C92*D92</f>
        <v>130.40034545454543</v>
      </c>
      <c r="F92" s="201"/>
      <c r="G92" s="201" t="s">
        <v>340</v>
      </c>
    </row>
    <row r="93" spans="1:7" s="404" customFormat="1" ht="13.5" customHeight="1" x14ac:dyDescent="0.2">
      <c r="A93" s="405" t="s">
        <v>211</v>
      </c>
      <c r="B93" s="406"/>
      <c r="C93" s="454">
        <v>1</v>
      </c>
      <c r="D93" s="228"/>
      <c r="E93" s="228"/>
      <c r="F93" s="201"/>
      <c r="G93" s="201"/>
    </row>
    <row r="94" spans="1:7" ht="13.5" customHeight="1" x14ac:dyDescent="0.2">
      <c r="A94" s="405" t="s">
        <v>0</v>
      </c>
      <c r="B94" s="406" t="s">
        <v>1</v>
      </c>
      <c r="C94" s="451">
        <v>40</v>
      </c>
      <c r="D94" s="447">
        <f>IF(C93=2,SUM(E90:E92),IF(C93=1,(SUM(E90:E92))*D91/D90,0))</f>
        <v>1029.4527272727273</v>
      </c>
      <c r="E94" s="228">
        <f>C94*D94/100</f>
        <v>411.78109090909095</v>
      </c>
      <c r="F94" s="201"/>
    </row>
    <row r="95" spans="1:7" ht="13.5" customHeight="1" x14ac:dyDescent="0.2">
      <c r="A95" s="100" t="s">
        <v>2</v>
      </c>
      <c r="B95" s="112"/>
      <c r="C95" s="112"/>
      <c r="D95" s="211"/>
      <c r="E95" s="208">
        <f>SUM(E90:E94)</f>
        <v>2190.9214363636365</v>
      </c>
      <c r="F95" s="43"/>
    </row>
    <row r="96" spans="1:7" ht="13.5" customHeight="1" x14ac:dyDescent="0.2">
      <c r="A96" s="405" t="s">
        <v>3</v>
      </c>
      <c r="B96" s="406" t="s">
        <v>1</v>
      </c>
      <c r="C96" s="130">
        <f>'2.Encargos Sociais'!$C$35*100</f>
        <v>75.47</v>
      </c>
      <c r="D96" s="228">
        <f>E95</f>
        <v>2190.9214363636365</v>
      </c>
      <c r="E96" s="228">
        <f>D96*C96/100</f>
        <v>1653.4884080236363</v>
      </c>
      <c r="F96" s="201"/>
    </row>
    <row r="97" spans="1:7" ht="13.5" customHeight="1" x14ac:dyDescent="0.2">
      <c r="A97" s="100" t="s">
        <v>242</v>
      </c>
      <c r="B97" s="175"/>
      <c r="C97" s="175"/>
      <c r="D97" s="176"/>
      <c r="E97" s="208">
        <f>E95+E96</f>
        <v>3844.4098443872726</v>
      </c>
      <c r="F97" s="43"/>
    </row>
    <row r="98" spans="1:7" ht="13.5" customHeight="1" thickBot="1" x14ac:dyDescent="0.25">
      <c r="A98" s="405" t="s">
        <v>4</v>
      </c>
      <c r="B98" s="406" t="s">
        <v>5</v>
      </c>
      <c r="C98" s="451">
        <v>1</v>
      </c>
      <c r="D98" s="228">
        <f>E97</f>
        <v>3844.4098443872726</v>
      </c>
      <c r="E98" s="228">
        <f>C98*D98</f>
        <v>3844.4098443872726</v>
      </c>
      <c r="F98" s="201"/>
    </row>
    <row r="99" spans="1:7" ht="13.5" customHeight="1" thickBot="1" x14ac:dyDescent="0.25">
      <c r="D99" s="117" t="s">
        <v>194</v>
      </c>
      <c r="E99" s="49">
        <v>0.25</v>
      </c>
      <c r="F99" s="118">
        <f>E98*E99</f>
        <v>961.10246109681816</v>
      </c>
    </row>
    <row r="100" spans="1:7" ht="13.5" customHeight="1" x14ac:dyDescent="0.2"/>
    <row r="101" spans="1:7" ht="13.5" customHeight="1" thickBot="1" x14ac:dyDescent="0.25">
      <c r="A101" s="6" t="s">
        <v>274</v>
      </c>
      <c r="B101" s="90"/>
      <c r="D101" s="8"/>
      <c r="E101" s="8"/>
      <c r="G101" s="8"/>
    </row>
    <row r="102" spans="1:7" ht="13.5" customHeight="1" thickBot="1" x14ac:dyDescent="0.25">
      <c r="A102" s="59" t="s">
        <v>61</v>
      </c>
      <c r="B102" s="60" t="s">
        <v>62</v>
      </c>
      <c r="C102" s="60" t="s">
        <v>38</v>
      </c>
      <c r="D102" s="61" t="s">
        <v>230</v>
      </c>
      <c r="E102" s="61" t="s">
        <v>63</v>
      </c>
      <c r="F102" s="62" t="s">
        <v>64</v>
      </c>
      <c r="G102" s="8"/>
    </row>
    <row r="103" spans="1:7" ht="13.5" customHeight="1" x14ac:dyDescent="0.2">
      <c r="A103" s="15" t="s">
        <v>90</v>
      </c>
      <c r="B103" s="16" t="s">
        <v>33</v>
      </c>
      <c r="C103" s="91">
        <v>1</v>
      </c>
      <c r="D103" s="89">
        <v>2.95</v>
      </c>
      <c r="E103" s="17"/>
      <c r="G103" s="8"/>
    </row>
    <row r="104" spans="1:7" ht="13.5" customHeight="1" x14ac:dyDescent="0.2">
      <c r="A104" s="15" t="s">
        <v>91</v>
      </c>
      <c r="B104" s="16" t="s">
        <v>92</v>
      </c>
      <c r="C104" s="88">
        <v>26</v>
      </c>
      <c r="D104" s="17"/>
      <c r="E104" s="17"/>
      <c r="G104" s="8"/>
    </row>
    <row r="105" spans="1:7" ht="13.5" customHeight="1" x14ac:dyDescent="0.2">
      <c r="A105" s="15" t="s">
        <v>72</v>
      </c>
      <c r="B105" s="16" t="s">
        <v>7</v>
      </c>
      <c r="C105" s="455">
        <f>$C$104*2*(C72)</f>
        <v>52</v>
      </c>
      <c r="D105" s="449">
        <f>IFERROR((($C$104*2*$D$103)-(E66*0.06))/($C$104*2),"-")</f>
        <v>1.5401384615384615</v>
      </c>
      <c r="E105" s="228">
        <f>IFERROR(C105*D105,"-")</f>
        <v>80.087199999999996</v>
      </c>
      <c r="G105" s="8"/>
    </row>
    <row r="106" spans="1:7" ht="13.5" customHeight="1" thickBot="1" x14ac:dyDescent="0.25">
      <c r="A106" s="12" t="s">
        <v>41</v>
      </c>
      <c r="B106" s="13" t="s">
        <v>7</v>
      </c>
      <c r="C106" s="455">
        <v>68</v>
      </c>
      <c r="D106" s="449">
        <f>IFERROR((($C$104*2*$D$103)-(E77*0.06))/($C$104*2),"-")</f>
        <v>1.0476076923076927</v>
      </c>
      <c r="E106" s="449">
        <f>IFERROR(C106*D106,"-")</f>
        <v>71.237323076923104</v>
      </c>
      <c r="G106" s="8"/>
    </row>
    <row r="107" spans="1:7" ht="13.5" customHeight="1" thickBot="1" x14ac:dyDescent="0.25">
      <c r="F107" s="21">
        <f>SUM(E105:E106)</f>
        <v>151.3245230769231</v>
      </c>
      <c r="G107" s="8"/>
    </row>
    <row r="108" spans="1:7" ht="13.5" customHeight="1" x14ac:dyDescent="0.2">
      <c r="G108" s="8"/>
    </row>
    <row r="109" spans="1:7" ht="13.5" customHeight="1" thickBot="1" x14ac:dyDescent="0.25">
      <c r="A109" s="6" t="s">
        <v>275</v>
      </c>
      <c r="F109" s="22"/>
      <c r="G109" s="8"/>
    </row>
    <row r="110" spans="1:7" ht="13.5" customHeight="1" thickBot="1" x14ac:dyDescent="0.25">
      <c r="A110" s="59" t="s">
        <v>61</v>
      </c>
      <c r="B110" s="60" t="s">
        <v>62</v>
      </c>
      <c r="C110" s="60" t="s">
        <v>38</v>
      </c>
      <c r="D110" s="61" t="s">
        <v>230</v>
      </c>
      <c r="E110" s="61" t="s">
        <v>63</v>
      </c>
      <c r="F110" s="62" t="s">
        <v>64</v>
      </c>
      <c r="G110" s="8"/>
    </row>
    <row r="111" spans="1:7" ht="13.5" customHeight="1" x14ac:dyDescent="0.2">
      <c r="A111" s="15" t="str">
        <f>+A105</f>
        <v>Coletor</v>
      </c>
      <c r="B111" s="16" t="s">
        <v>8</v>
      </c>
      <c r="C111" s="99">
        <f>C104*(E44)</f>
        <v>26</v>
      </c>
      <c r="D111" s="92">
        <v>16</v>
      </c>
      <c r="E111" s="49">
        <f>C111*D111</f>
        <v>416</v>
      </c>
      <c r="F111" s="22"/>
      <c r="G111" s="8"/>
    </row>
    <row r="112" spans="1:7" ht="13.5" customHeight="1" thickBot="1" x14ac:dyDescent="0.25">
      <c r="A112" s="15" t="str">
        <f>+A106</f>
        <v>Motorista</v>
      </c>
      <c r="B112" s="16" t="s">
        <v>8</v>
      </c>
      <c r="C112" s="99">
        <v>30</v>
      </c>
      <c r="D112" s="92">
        <v>10.92</v>
      </c>
      <c r="E112" s="49">
        <f>C112*D112</f>
        <v>327.60000000000002</v>
      </c>
      <c r="F112" s="22"/>
      <c r="G112" s="8"/>
    </row>
    <row r="113" spans="1:7" ht="13.5" customHeight="1" thickBot="1" x14ac:dyDescent="0.25">
      <c r="F113" s="21">
        <f>SUM(E111:E112)</f>
        <v>743.6</v>
      </c>
      <c r="G113" s="8"/>
    </row>
    <row r="114" spans="1:7" ht="13.5" customHeight="1" x14ac:dyDescent="0.2">
      <c r="F114" s="199"/>
      <c r="G114" s="8"/>
    </row>
    <row r="115" spans="1:7" ht="13.5" customHeight="1" thickBot="1" x14ac:dyDescent="0.25">
      <c r="A115" s="6" t="s">
        <v>273</v>
      </c>
      <c r="F115" s="22"/>
      <c r="G115" s="8"/>
    </row>
    <row r="116" spans="1:7" ht="13.5" customHeight="1" thickBot="1" x14ac:dyDescent="0.25">
      <c r="A116" s="59" t="s">
        <v>61</v>
      </c>
      <c r="B116" s="60" t="s">
        <v>62</v>
      </c>
      <c r="C116" s="60" t="s">
        <v>38</v>
      </c>
      <c r="D116" s="61" t="s">
        <v>230</v>
      </c>
      <c r="E116" s="61" t="s">
        <v>63</v>
      </c>
      <c r="F116" s="62" t="s">
        <v>64</v>
      </c>
      <c r="G116" s="8"/>
    </row>
    <row r="117" spans="1:7" ht="13.5" customHeight="1" x14ac:dyDescent="0.2">
      <c r="A117" s="15" t="str">
        <f>+A111</f>
        <v>Coletor</v>
      </c>
      <c r="B117" s="16" t="s">
        <v>8</v>
      </c>
      <c r="C117" s="99">
        <f t="shared" ref="C117" si="2">C111</f>
        <v>26</v>
      </c>
      <c r="D117" s="92">
        <v>8</v>
      </c>
      <c r="E117" s="49">
        <f>C117*D117</f>
        <v>208</v>
      </c>
      <c r="F117" s="22"/>
      <c r="G117" s="8"/>
    </row>
    <row r="118" spans="1:7" ht="13.5" customHeight="1" thickBot="1" x14ac:dyDescent="0.25">
      <c r="A118" s="15" t="str">
        <f>+A112</f>
        <v>Motorista</v>
      </c>
      <c r="B118" s="16" t="s">
        <v>8</v>
      </c>
      <c r="C118" s="99">
        <v>30</v>
      </c>
      <c r="D118" s="92">
        <v>8</v>
      </c>
      <c r="E118" s="49">
        <f>C118*D118</f>
        <v>240</v>
      </c>
      <c r="F118" s="22"/>
      <c r="G118" s="8"/>
    </row>
    <row r="119" spans="1:7" ht="13.5" customHeight="1" thickBot="1" x14ac:dyDescent="0.25">
      <c r="F119" s="21">
        <f>SUM(E117:E118)</f>
        <v>448</v>
      </c>
      <c r="G119" s="8"/>
    </row>
    <row r="120" spans="1:7" ht="13.5" customHeight="1" x14ac:dyDescent="0.2">
      <c r="G120" s="8"/>
    </row>
    <row r="121" spans="1:7" ht="13.5" customHeight="1" thickBot="1" x14ac:dyDescent="0.25">
      <c r="A121" s="8" t="s">
        <v>119</v>
      </c>
      <c r="F121" s="22"/>
      <c r="G121" s="8"/>
    </row>
    <row r="122" spans="1:7" ht="13.5" customHeight="1" thickBot="1" x14ac:dyDescent="0.25">
      <c r="A122" s="59" t="s">
        <v>61</v>
      </c>
      <c r="B122" s="60" t="s">
        <v>62</v>
      </c>
      <c r="C122" s="60" t="s">
        <v>38</v>
      </c>
      <c r="D122" s="61" t="s">
        <v>230</v>
      </c>
      <c r="E122" s="61" t="s">
        <v>63</v>
      </c>
      <c r="F122" s="62" t="s">
        <v>64</v>
      </c>
      <c r="G122" s="8"/>
    </row>
    <row r="123" spans="1:7" ht="13.5" customHeight="1" x14ac:dyDescent="0.2">
      <c r="A123" s="15" t="str">
        <f>+A111</f>
        <v>Coletor</v>
      </c>
      <c r="B123" s="16" t="s">
        <v>8</v>
      </c>
      <c r="C123" s="99">
        <f>E44</f>
        <v>1</v>
      </c>
      <c r="D123" s="92">
        <v>0</v>
      </c>
      <c r="E123" s="49">
        <f>C123*D123</f>
        <v>0</v>
      </c>
      <c r="F123" s="22"/>
      <c r="G123" s="8"/>
    </row>
    <row r="124" spans="1:7" ht="13.5" customHeight="1" thickBot="1" x14ac:dyDescent="0.25">
      <c r="A124" s="15" t="str">
        <f>+A112</f>
        <v>Motorista</v>
      </c>
      <c r="B124" s="16" t="s">
        <v>8</v>
      </c>
      <c r="C124" s="99">
        <v>1</v>
      </c>
      <c r="D124" s="92">
        <v>82.82</v>
      </c>
      <c r="E124" s="49">
        <f>C124*D124</f>
        <v>82.82</v>
      </c>
      <c r="F124" s="22"/>
      <c r="G124" s="8"/>
    </row>
    <row r="125" spans="1:7" ht="13.5" customHeight="1" thickBot="1" x14ac:dyDescent="0.25">
      <c r="D125" s="117" t="s">
        <v>194</v>
      </c>
      <c r="E125" s="49">
        <v>0.73</v>
      </c>
      <c r="F125" s="21">
        <f>SUM(E123:E124)*E125</f>
        <v>60.458599999999997</v>
      </c>
      <c r="G125" s="8"/>
    </row>
    <row r="126" spans="1:7" ht="13.5" customHeight="1" thickBot="1" x14ac:dyDescent="0.25">
      <c r="G126" s="8"/>
    </row>
    <row r="127" spans="1:7" ht="13.5" customHeight="1" thickBot="1" x14ac:dyDescent="0.25">
      <c r="A127" s="23" t="s">
        <v>93</v>
      </c>
      <c r="B127" s="24"/>
      <c r="C127" s="24"/>
      <c r="D127" s="25"/>
      <c r="E127" s="26"/>
      <c r="F127" s="21">
        <f>F73+F86+F99+F107+F113+F119+F125</f>
        <v>8409.9536495444499</v>
      </c>
      <c r="G127" s="8"/>
    </row>
    <row r="128" spans="1:7" ht="13.5" customHeight="1" x14ac:dyDescent="0.2">
      <c r="A128" s="33"/>
      <c r="B128" s="33"/>
      <c r="C128" s="33"/>
      <c r="D128" s="203"/>
      <c r="E128" s="203"/>
      <c r="F128" s="199"/>
      <c r="G128" s="8"/>
    </row>
    <row r="129" spans="1:7" ht="13.5" customHeight="1" x14ac:dyDescent="0.2"/>
    <row r="130" spans="1:7" ht="13.5" customHeight="1" x14ac:dyDescent="0.2">
      <c r="A130" s="10" t="s">
        <v>42</v>
      </c>
      <c r="G130" s="8"/>
    </row>
    <row r="131" spans="1:7" ht="13.5" customHeight="1" x14ac:dyDescent="0.2">
      <c r="G131" s="8"/>
    </row>
    <row r="132" spans="1:7" ht="13.5" customHeight="1" thickBot="1" x14ac:dyDescent="0.25">
      <c r="A132" s="8" t="s">
        <v>196</v>
      </c>
      <c r="G132" s="8"/>
    </row>
    <row r="133" spans="1:7" ht="27" customHeight="1" thickBot="1" x14ac:dyDescent="0.25">
      <c r="A133" s="59" t="s">
        <v>61</v>
      </c>
      <c r="B133" s="60" t="s">
        <v>62</v>
      </c>
      <c r="C133" s="177" t="s">
        <v>243</v>
      </c>
      <c r="D133" s="61" t="s">
        <v>230</v>
      </c>
      <c r="E133" s="61" t="s">
        <v>63</v>
      </c>
      <c r="F133" s="62" t="s">
        <v>64</v>
      </c>
      <c r="G133" s="8"/>
    </row>
    <row r="134" spans="1:7" ht="13.5" customHeight="1" x14ac:dyDescent="0.2">
      <c r="A134" s="198" t="s">
        <v>65</v>
      </c>
      <c r="B134" s="13" t="s">
        <v>8</v>
      </c>
      <c r="C134" s="98">
        <v>6</v>
      </c>
      <c r="D134" s="86">
        <v>72</v>
      </c>
      <c r="E134" s="14">
        <f>IFERROR(D134/C134,0)</f>
        <v>12</v>
      </c>
      <c r="G134" s="8"/>
    </row>
    <row r="135" spans="1:7" ht="13.5" customHeight="1" x14ac:dyDescent="0.2">
      <c r="A135" s="15" t="s">
        <v>28</v>
      </c>
      <c r="B135" s="16" t="s">
        <v>8</v>
      </c>
      <c r="C135" s="98">
        <v>3</v>
      </c>
      <c r="D135" s="86">
        <v>40</v>
      </c>
      <c r="E135" s="14">
        <f t="shared" ref="E135:E143" si="3">IFERROR(D135/C135,0)</f>
        <v>13.333333333333334</v>
      </c>
      <c r="G135" s="8"/>
    </row>
    <row r="136" spans="1:7" ht="13.5" customHeight="1" x14ac:dyDescent="0.2">
      <c r="A136" s="15" t="s">
        <v>29</v>
      </c>
      <c r="B136" s="16" t="s">
        <v>8</v>
      </c>
      <c r="C136" s="98">
        <v>2</v>
      </c>
      <c r="D136" s="86">
        <v>24</v>
      </c>
      <c r="E136" s="14">
        <f t="shared" si="3"/>
        <v>12</v>
      </c>
      <c r="G136" s="8"/>
    </row>
    <row r="137" spans="1:7" ht="13.5" customHeight="1" x14ac:dyDescent="0.2">
      <c r="A137" s="15" t="s">
        <v>30</v>
      </c>
      <c r="B137" s="16" t="s">
        <v>8</v>
      </c>
      <c r="C137" s="98">
        <v>4</v>
      </c>
      <c r="D137" s="86">
        <v>13</v>
      </c>
      <c r="E137" s="14">
        <f t="shared" si="3"/>
        <v>3.25</v>
      </c>
      <c r="G137" s="8"/>
    </row>
    <row r="138" spans="1:7" ht="13.5" customHeight="1" x14ac:dyDescent="0.2">
      <c r="A138" s="15" t="s">
        <v>67</v>
      </c>
      <c r="B138" s="16" t="s">
        <v>45</v>
      </c>
      <c r="C138" s="98">
        <v>3</v>
      </c>
      <c r="D138" s="86">
        <v>53</v>
      </c>
      <c r="E138" s="14">
        <f t="shared" si="3"/>
        <v>17.666666666666668</v>
      </c>
      <c r="G138" s="8"/>
    </row>
    <row r="139" spans="1:7" ht="13.5" customHeight="1" x14ac:dyDescent="0.2">
      <c r="A139" s="15" t="s">
        <v>94</v>
      </c>
      <c r="B139" s="16" t="s">
        <v>45</v>
      </c>
      <c r="C139" s="98">
        <v>3</v>
      </c>
      <c r="D139" s="86">
        <v>7</v>
      </c>
      <c r="E139" s="14">
        <f t="shared" si="3"/>
        <v>2.3333333333333335</v>
      </c>
      <c r="G139" s="8"/>
    </row>
    <row r="140" spans="1:7" ht="13.5" customHeight="1" x14ac:dyDescent="0.2">
      <c r="A140" s="15" t="s">
        <v>66</v>
      </c>
      <c r="B140" s="16" t="s">
        <v>8</v>
      </c>
      <c r="C140" s="98">
        <v>6</v>
      </c>
      <c r="D140" s="86">
        <v>24</v>
      </c>
      <c r="E140" s="14">
        <f t="shared" si="3"/>
        <v>4</v>
      </c>
    </row>
    <row r="141" spans="1:7" ht="13.5" customHeight="1" x14ac:dyDescent="0.2">
      <c r="A141" s="2" t="s">
        <v>9</v>
      </c>
      <c r="B141" s="3" t="s">
        <v>8</v>
      </c>
      <c r="C141" s="98">
        <v>6</v>
      </c>
      <c r="D141" s="86">
        <v>26</v>
      </c>
      <c r="E141" s="14">
        <f t="shared" si="3"/>
        <v>4.333333333333333</v>
      </c>
      <c r="F141" s="37"/>
    </row>
    <row r="142" spans="1:7" s="1" customFormat="1" ht="13.5" customHeight="1" x14ac:dyDescent="0.2">
      <c r="A142" s="15" t="s">
        <v>31</v>
      </c>
      <c r="B142" s="16" t="s">
        <v>45</v>
      </c>
      <c r="C142" s="98">
        <v>2</v>
      </c>
      <c r="D142" s="86">
        <v>13</v>
      </c>
      <c r="E142" s="14">
        <f t="shared" si="3"/>
        <v>6.5</v>
      </c>
      <c r="F142" s="9"/>
      <c r="G142" s="37"/>
    </row>
    <row r="143" spans="1:7" ht="13.5" customHeight="1" x14ac:dyDescent="0.2">
      <c r="A143" s="15" t="s">
        <v>60</v>
      </c>
      <c r="B143" s="16" t="s">
        <v>46</v>
      </c>
      <c r="C143" s="98">
        <v>2</v>
      </c>
      <c r="D143" s="86">
        <v>16</v>
      </c>
      <c r="E143" s="14">
        <f t="shared" si="3"/>
        <v>8</v>
      </c>
    </row>
    <row r="144" spans="1:7" ht="13.5" customHeight="1" x14ac:dyDescent="0.2">
      <c r="A144" s="15" t="s">
        <v>197</v>
      </c>
      <c r="B144" s="16" t="s">
        <v>120</v>
      </c>
      <c r="C144" s="115">
        <v>1</v>
      </c>
      <c r="D144" s="86">
        <v>120</v>
      </c>
      <c r="E144" s="17">
        <f t="shared" ref="E144:E145" si="4">C144*D144</f>
        <v>120</v>
      </c>
    </row>
    <row r="145" spans="1:7" ht="13.5" customHeight="1" thickBot="1" x14ac:dyDescent="0.25">
      <c r="A145" s="15" t="s">
        <v>4</v>
      </c>
      <c r="B145" s="16" t="s">
        <v>5</v>
      </c>
      <c r="C145" s="68">
        <f>E44</f>
        <v>1</v>
      </c>
      <c r="D145" s="17">
        <f>+SUM(E134:E144)</f>
        <v>203.41666666666669</v>
      </c>
      <c r="E145" s="17">
        <f t="shared" si="4"/>
        <v>203.41666666666669</v>
      </c>
    </row>
    <row r="146" spans="1:7" ht="13.5" customHeight="1" thickBot="1" x14ac:dyDescent="0.25">
      <c r="D146" s="117" t="s">
        <v>194</v>
      </c>
      <c r="E146" s="49">
        <v>1</v>
      </c>
      <c r="F146" s="118">
        <f>E145*E146</f>
        <v>203.41666666666669</v>
      </c>
    </row>
    <row r="147" spans="1:7" ht="13.5" customHeight="1" thickBot="1" x14ac:dyDescent="0.25">
      <c r="A147" s="6" t="s">
        <v>285</v>
      </c>
    </row>
    <row r="148" spans="1:7" ht="27" customHeight="1" thickBot="1" x14ac:dyDescent="0.25">
      <c r="A148" s="59" t="s">
        <v>61</v>
      </c>
      <c r="B148" s="60" t="s">
        <v>62</v>
      </c>
      <c r="C148" s="177" t="s">
        <v>243</v>
      </c>
      <c r="D148" s="61" t="s">
        <v>230</v>
      </c>
      <c r="E148" s="61" t="s">
        <v>63</v>
      </c>
      <c r="F148" s="62" t="s">
        <v>64</v>
      </c>
    </row>
    <row r="149" spans="1:7" ht="13.5" customHeight="1" x14ac:dyDescent="0.2">
      <c r="A149" s="12" t="s">
        <v>65</v>
      </c>
      <c r="B149" s="13" t="s">
        <v>8</v>
      </c>
      <c r="C149" s="98">
        <v>6</v>
      </c>
      <c r="D149" s="14">
        <f>+D134</f>
        <v>72</v>
      </c>
      <c r="E149" s="14">
        <f>IFERROR(D149/C149,0)</f>
        <v>12</v>
      </c>
    </row>
    <row r="150" spans="1:7" ht="13.5" customHeight="1" x14ac:dyDescent="0.2">
      <c r="A150" s="15" t="s">
        <v>28</v>
      </c>
      <c r="B150" s="16" t="s">
        <v>8</v>
      </c>
      <c r="C150" s="98">
        <v>4</v>
      </c>
      <c r="D150" s="17">
        <f>+D135</f>
        <v>40</v>
      </c>
      <c r="E150" s="14">
        <f t="shared" ref="E150:E155" si="5">IFERROR(D150/C150,0)</f>
        <v>10</v>
      </c>
    </row>
    <row r="151" spans="1:7" ht="13.5" customHeight="1" x14ac:dyDescent="0.2">
      <c r="A151" s="15" t="s">
        <v>29</v>
      </c>
      <c r="B151" s="16" t="s">
        <v>8</v>
      </c>
      <c r="C151" s="200">
        <v>3</v>
      </c>
      <c r="D151" s="17">
        <f>+D136</f>
        <v>24</v>
      </c>
      <c r="E151" s="14">
        <f t="shared" si="5"/>
        <v>8</v>
      </c>
    </row>
    <row r="152" spans="1:7" ht="13.5" customHeight="1" x14ac:dyDescent="0.2">
      <c r="A152" s="15" t="s">
        <v>67</v>
      </c>
      <c r="B152" s="16" t="s">
        <v>45</v>
      </c>
      <c r="C152" s="98">
        <v>4</v>
      </c>
      <c r="D152" s="17">
        <f>+D138</f>
        <v>53</v>
      </c>
      <c r="E152" s="14">
        <f t="shared" si="5"/>
        <v>13.25</v>
      </c>
    </row>
    <row r="153" spans="1:7" ht="13.5" customHeight="1" x14ac:dyDescent="0.2">
      <c r="A153" s="15" t="s">
        <v>94</v>
      </c>
      <c r="B153" s="16" t="s">
        <v>45</v>
      </c>
      <c r="C153" s="98">
        <v>3</v>
      </c>
      <c r="D153" s="17">
        <f>D139</f>
        <v>7</v>
      </c>
      <c r="E153" s="14">
        <f t="shared" si="5"/>
        <v>2.3333333333333335</v>
      </c>
    </row>
    <row r="154" spans="1:7" ht="13.5" customHeight="1" x14ac:dyDescent="0.2">
      <c r="A154" s="15" t="s">
        <v>66</v>
      </c>
      <c r="B154" s="16" t="s">
        <v>8</v>
      </c>
      <c r="C154" s="98">
        <v>6</v>
      </c>
      <c r="D154" s="17">
        <f>+D140</f>
        <v>24</v>
      </c>
      <c r="E154" s="14">
        <f t="shared" si="5"/>
        <v>4</v>
      </c>
    </row>
    <row r="155" spans="1:7" ht="13.5" customHeight="1" x14ac:dyDescent="0.2">
      <c r="A155" s="15" t="s">
        <v>60</v>
      </c>
      <c r="B155" s="16" t="s">
        <v>46</v>
      </c>
      <c r="C155" s="98">
        <v>2</v>
      </c>
      <c r="D155" s="17">
        <f>+D143</f>
        <v>16</v>
      </c>
      <c r="E155" s="14">
        <f t="shared" si="5"/>
        <v>8</v>
      </c>
      <c r="G155" s="8"/>
    </row>
    <row r="156" spans="1:7" ht="13.5" customHeight="1" x14ac:dyDescent="0.2">
      <c r="A156" s="15" t="s">
        <v>197</v>
      </c>
      <c r="B156" s="16" t="s">
        <v>120</v>
      </c>
      <c r="C156" s="115">
        <v>1</v>
      </c>
      <c r="D156" s="86">
        <f>(120/9)*6</f>
        <v>80</v>
      </c>
      <c r="E156" s="17">
        <f t="shared" ref="E156:E157" si="6">C156*D156</f>
        <v>80</v>
      </c>
      <c r="G156" s="8"/>
    </row>
    <row r="157" spans="1:7" ht="13.5" customHeight="1" thickBot="1" x14ac:dyDescent="0.25">
      <c r="A157" s="15" t="s">
        <v>4</v>
      </c>
      <c r="B157" s="16" t="s">
        <v>5</v>
      </c>
      <c r="C157" s="68">
        <v>1</v>
      </c>
      <c r="D157" s="17">
        <f>+SUM(E149:E156)</f>
        <v>137.58333333333334</v>
      </c>
      <c r="E157" s="17">
        <f t="shared" si="6"/>
        <v>137.58333333333334</v>
      </c>
      <c r="G157" s="8"/>
    </row>
    <row r="158" spans="1:7" ht="13.5" customHeight="1" thickBot="1" x14ac:dyDescent="0.25">
      <c r="D158" s="117" t="s">
        <v>194</v>
      </c>
      <c r="E158" s="49">
        <v>1</v>
      </c>
      <c r="F158" s="118">
        <f>E157*E158</f>
        <v>137.58333333333334</v>
      </c>
      <c r="G158" s="8"/>
    </row>
    <row r="159" spans="1:7" ht="13.5" customHeight="1" x14ac:dyDescent="0.2">
      <c r="G159" s="8"/>
    </row>
    <row r="160" spans="1:7" ht="13.5" customHeight="1" thickBot="1" x14ac:dyDescent="0.25">
      <c r="A160" s="6" t="s">
        <v>286</v>
      </c>
    </row>
    <row r="161" spans="1:7" ht="27" customHeight="1" thickBot="1" x14ac:dyDescent="0.25">
      <c r="A161" s="59" t="s">
        <v>61</v>
      </c>
      <c r="B161" s="60" t="s">
        <v>62</v>
      </c>
      <c r="C161" s="177" t="s">
        <v>243</v>
      </c>
      <c r="D161" s="205" t="s">
        <v>230</v>
      </c>
      <c r="E161" s="205" t="s">
        <v>63</v>
      </c>
      <c r="F161" s="206" t="s">
        <v>64</v>
      </c>
    </row>
    <row r="162" spans="1:7" ht="13.5" customHeight="1" x14ac:dyDescent="0.2">
      <c r="A162" s="12" t="s">
        <v>65</v>
      </c>
      <c r="B162" s="13" t="s">
        <v>8</v>
      </c>
      <c r="C162" s="98">
        <v>6</v>
      </c>
      <c r="D162" s="14">
        <f>D134</f>
        <v>72</v>
      </c>
      <c r="E162" s="14">
        <f>IFERROR(D162/C162,0)</f>
        <v>12</v>
      </c>
    </row>
    <row r="163" spans="1:7" ht="13.5" customHeight="1" x14ac:dyDescent="0.2">
      <c r="A163" s="15" t="s">
        <v>28</v>
      </c>
      <c r="B163" s="16" t="s">
        <v>8</v>
      </c>
      <c r="C163" s="98">
        <v>6</v>
      </c>
      <c r="D163" s="17">
        <f>D135</f>
        <v>40</v>
      </c>
      <c r="E163" s="14">
        <f t="shared" ref="E163:E166" si="7">IFERROR(D163/C163,0)</f>
        <v>6.666666666666667</v>
      </c>
    </row>
    <row r="164" spans="1:7" ht="13.5" customHeight="1" x14ac:dyDescent="0.2">
      <c r="A164" s="15" t="s">
        <v>29</v>
      </c>
      <c r="B164" s="16" t="s">
        <v>8</v>
      </c>
      <c r="C164" s="200">
        <v>6</v>
      </c>
      <c r="D164" s="17">
        <f>D136</f>
        <v>24</v>
      </c>
      <c r="E164" s="14">
        <f t="shared" si="7"/>
        <v>4</v>
      </c>
    </row>
    <row r="165" spans="1:7" ht="13.5" customHeight="1" x14ac:dyDescent="0.2">
      <c r="A165" s="15" t="s">
        <v>67</v>
      </c>
      <c r="B165" s="16" t="s">
        <v>45</v>
      </c>
      <c r="C165" s="98">
        <v>6</v>
      </c>
      <c r="D165" s="17">
        <f>D138</f>
        <v>53</v>
      </c>
      <c r="E165" s="14">
        <f t="shared" si="7"/>
        <v>8.8333333333333339</v>
      </c>
    </row>
    <row r="166" spans="1:7" ht="13.5" customHeight="1" x14ac:dyDescent="0.2">
      <c r="A166" s="15" t="s">
        <v>94</v>
      </c>
      <c r="B166" s="16" t="s">
        <v>45</v>
      </c>
      <c r="C166" s="98">
        <v>6</v>
      </c>
      <c r="D166" s="17">
        <f>D139</f>
        <v>7</v>
      </c>
      <c r="E166" s="14">
        <f t="shared" si="7"/>
        <v>1.1666666666666667</v>
      </c>
    </row>
    <row r="167" spans="1:7" ht="13.5" customHeight="1" x14ac:dyDescent="0.2">
      <c r="A167" s="15" t="s">
        <v>66</v>
      </c>
      <c r="B167" s="16" t="s">
        <v>8</v>
      </c>
      <c r="C167" s="98">
        <v>6</v>
      </c>
      <c r="D167" s="17">
        <f>D140</f>
        <v>24</v>
      </c>
      <c r="E167" s="14">
        <f t="shared" ref="E167:E168" si="8">IFERROR(D167/C167,0)</f>
        <v>4</v>
      </c>
    </row>
    <row r="168" spans="1:7" ht="13.5" customHeight="1" x14ac:dyDescent="0.2">
      <c r="A168" s="15" t="s">
        <v>60</v>
      </c>
      <c r="B168" s="16" t="s">
        <v>46</v>
      </c>
      <c r="C168" s="98">
        <v>6</v>
      </c>
      <c r="D168" s="17">
        <f>D143</f>
        <v>16</v>
      </c>
      <c r="E168" s="14">
        <f t="shared" si="8"/>
        <v>2.6666666666666665</v>
      </c>
      <c r="G168" s="8"/>
    </row>
    <row r="169" spans="1:7" ht="13.5" customHeight="1" x14ac:dyDescent="0.2">
      <c r="A169" s="15" t="s">
        <v>197</v>
      </c>
      <c r="B169" s="16" t="s">
        <v>120</v>
      </c>
      <c r="C169" s="115">
        <v>1</v>
      </c>
      <c r="D169" s="86">
        <v>14</v>
      </c>
      <c r="E169" s="17">
        <f t="shared" ref="E169:E170" si="9">C169*D169</f>
        <v>14</v>
      </c>
      <c r="G169" s="8"/>
    </row>
    <row r="170" spans="1:7" ht="13.5" customHeight="1" thickBot="1" x14ac:dyDescent="0.25">
      <c r="A170" s="15" t="s">
        <v>4</v>
      </c>
      <c r="B170" s="16" t="s">
        <v>5</v>
      </c>
      <c r="C170" s="68">
        <v>1</v>
      </c>
      <c r="D170" s="17">
        <f>+SUM(E162:E169)</f>
        <v>53.333333333333329</v>
      </c>
      <c r="E170" s="17">
        <f t="shared" si="9"/>
        <v>53.333333333333329</v>
      </c>
      <c r="G170" s="8"/>
    </row>
    <row r="171" spans="1:7" ht="13.5" customHeight="1" thickBot="1" x14ac:dyDescent="0.25">
      <c r="D171" s="117" t="s">
        <v>194</v>
      </c>
      <c r="E171" s="49">
        <v>1</v>
      </c>
      <c r="F171" s="213">
        <f>E170*E171</f>
        <v>53.333333333333329</v>
      </c>
      <c r="G171" s="8"/>
    </row>
    <row r="172" spans="1:7" ht="13.5" customHeight="1" thickBot="1" x14ac:dyDescent="0.25">
      <c r="D172" s="117"/>
      <c r="E172" s="58"/>
      <c r="F172" s="216"/>
      <c r="G172" s="8"/>
    </row>
    <row r="173" spans="1:7" ht="13.5" customHeight="1" thickBot="1" x14ac:dyDescent="0.25">
      <c r="A173" s="23" t="s">
        <v>199</v>
      </c>
      <c r="B173" s="27"/>
      <c r="C173" s="27"/>
      <c r="D173" s="28"/>
      <c r="E173" s="29"/>
      <c r="F173" s="20">
        <f>+F146+F158+F171</f>
        <v>394.33333333333331</v>
      </c>
      <c r="G173" s="8"/>
    </row>
    <row r="174" spans="1:7" ht="13.5" customHeight="1" x14ac:dyDescent="0.2">
      <c r="A174" s="33"/>
      <c r="B174" s="53"/>
      <c r="C174" s="53"/>
      <c r="D174" s="58"/>
      <c r="E174" s="58"/>
      <c r="F174" s="196"/>
      <c r="G174" s="8"/>
    </row>
    <row r="175" spans="1:7" ht="13.5" customHeight="1" x14ac:dyDescent="0.2">
      <c r="G175" s="8"/>
    </row>
    <row r="176" spans="1:7" ht="13.5" customHeight="1" x14ac:dyDescent="0.2">
      <c r="A176" s="10" t="s">
        <v>51</v>
      </c>
      <c r="G176" s="8"/>
    </row>
    <row r="177" spans="1:10" ht="13.5" customHeight="1" x14ac:dyDescent="0.2">
      <c r="B177" s="104"/>
      <c r="G177" s="8"/>
    </row>
    <row r="178" spans="1:10" ht="13.5" customHeight="1" x14ac:dyDescent="0.2">
      <c r="A178" s="6" t="s">
        <v>317</v>
      </c>
      <c r="G178" s="8"/>
    </row>
    <row r="179" spans="1:10" ht="13.5" customHeight="1" x14ac:dyDescent="0.2">
      <c r="G179" s="8"/>
    </row>
    <row r="180" spans="1:10" ht="13.5" customHeight="1" thickBot="1" x14ac:dyDescent="0.25">
      <c r="A180" s="104" t="s">
        <v>43</v>
      </c>
      <c r="G180" s="8"/>
    </row>
    <row r="181" spans="1:10" ht="13.5" customHeight="1" thickBot="1" x14ac:dyDescent="0.25">
      <c r="A181" s="59" t="s">
        <v>61</v>
      </c>
      <c r="B181" s="60" t="s">
        <v>62</v>
      </c>
      <c r="C181" s="60" t="s">
        <v>38</v>
      </c>
      <c r="D181" s="61" t="s">
        <v>230</v>
      </c>
      <c r="E181" s="61" t="s">
        <v>63</v>
      </c>
      <c r="F181" s="62" t="s">
        <v>64</v>
      </c>
      <c r="G181" s="8"/>
    </row>
    <row r="182" spans="1:10" ht="13.5" customHeight="1" x14ac:dyDescent="0.2">
      <c r="A182" s="12" t="s">
        <v>103</v>
      </c>
      <c r="B182" s="13" t="s">
        <v>8</v>
      </c>
      <c r="C182" s="183">
        <v>1</v>
      </c>
      <c r="D182" s="86">
        <v>284993</v>
      </c>
      <c r="E182" s="14">
        <f>C182*D182</f>
        <v>284993</v>
      </c>
      <c r="G182" s="8"/>
    </row>
    <row r="183" spans="1:10" ht="13.5" customHeight="1" x14ac:dyDescent="0.2">
      <c r="A183" s="15" t="s">
        <v>97</v>
      </c>
      <c r="B183" s="16" t="s">
        <v>98</v>
      </c>
      <c r="C183" s="85">
        <v>10</v>
      </c>
      <c r="D183" s="82"/>
      <c r="E183" s="17"/>
      <c r="G183" s="8"/>
    </row>
    <row r="184" spans="1:10" ht="13.5" customHeight="1" x14ac:dyDescent="0.2">
      <c r="A184" s="15" t="s">
        <v>205</v>
      </c>
      <c r="B184" s="16" t="s">
        <v>98</v>
      </c>
      <c r="C184" s="85">
        <v>0</v>
      </c>
      <c r="D184" s="17"/>
      <c r="E184" s="17"/>
      <c r="F184" s="19"/>
      <c r="G184" s="8"/>
    </row>
    <row r="185" spans="1:10" ht="13.5" customHeight="1" x14ac:dyDescent="0.2">
      <c r="A185" s="15" t="s">
        <v>101</v>
      </c>
      <c r="B185" s="16" t="s">
        <v>1</v>
      </c>
      <c r="C185" s="130">
        <f>IFERROR(VLOOKUP(C183,'5. Depreciação'!B5:C19,2,FALSE),0)</f>
        <v>65.180000000000007</v>
      </c>
      <c r="D185" s="17">
        <f>E182</f>
        <v>284993</v>
      </c>
      <c r="E185" s="17">
        <f>C185*D185/100</f>
        <v>185758.43740000002</v>
      </c>
      <c r="I185" s="84"/>
      <c r="J185" s="84"/>
    </row>
    <row r="186" spans="1:10" ht="13.5" customHeight="1" thickBot="1" x14ac:dyDescent="0.25">
      <c r="A186" s="186" t="s">
        <v>47</v>
      </c>
      <c r="B186" s="187" t="s">
        <v>6</v>
      </c>
      <c r="C186" s="187">
        <f>C183*12</f>
        <v>120</v>
      </c>
      <c r="D186" s="188">
        <f>IF(C184&lt;=C183,E185,0)</f>
        <v>185758.43740000002</v>
      </c>
      <c r="E186" s="188">
        <f>IFERROR(D186/C186,0)</f>
        <v>1547.9869783333336</v>
      </c>
    </row>
    <row r="187" spans="1:10" ht="13.5" customHeight="1" thickTop="1" x14ac:dyDescent="0.2">
      <c r="A187" s="12" t="s">
        <v>102</v>
      </c>
      <c r="B187" s="13" t="s">
        <v>8</v>
      </c>
      <c r="C187" s="13">
        <f>C182</f>
        <v>1</v>
      </c>
      <c r="D187" s="86">
        <v>930000</v>
      </c>
      <c r="E187" s="14">
        <f>C187*D187</f>
        <v>930000</v>
      </c>
    </row>
    <row r="188" spans="1:10" ht="13.5" customHeight="1" x14ac:dyDescent="0.2">
      <c r="A188" s="15" t="s">
        <v>99</v>
      </c>
      <c r="B188" s="16" t="s">
        <v>98</v>
      </c>
      <c r="C188" s="85">
        <v>10</v>
      </c>
      <c r="D188" s="17"/>
      <c r="E188" s="17"/>
      <c r="G188" s="8"/>
    </row>
    <row r="189" spans="1:10" ht="13.5" customHeight="1" x14ac:dyDescent="0.2">
      <c r="A189" s="15" t="s">
        <v>206</v>
      </c>
      <c r="B189" s="16" t="s">
        <v>98</v>
      </c>
      <c r="C189" s="85">
        <v>0</v>
      </c>
      <c r="D189" s="17"/>
      <c r="E189" s="17"/>
      <c r="F189" s="19"/>
    </row>
    <row r="190" spans="1:10" ht="13.5" customHeight="1" x14ac:dyDescent="0.2">
      <c r="A190" s="15" t="s">
        <v>100</v>
      </c>
      <c r="B190" s="16" t="s">
        <v>1</v>
      </c>
      <c r="C190" s="131">
        <f>IFERROR(VLOOKUP(C188,'5. Depreciação'!B5:C19,2,FALSE),0)</f>
        <v>65.180000000000007</v>
      </c>
      <c r="D190" s="17">
        <f>E187</f>
        <v>930000</v>
      </c>
      <c r="E190" s="17">
        <f>C190*D190/100</f>
        <v>606174.00000000012</v>
      </c>
      <c r="I190" s="84"/>
      <c r="J190" s="84"/>
    </row>
    <row r="191" spans="1:10" ht="13.5" customHeight="1" x14ac:dyDescent="0.2">
      <c r="A191" s="100" t="s">
        <v>104</v>
      </c>
      <c r="B191" s="101" t="s">
        <v>6</v>
      </c>
      <c r="C191" s="101">
        <f>C188*12</f>
        <v>120</v>
      </c>
      <c r="D191" s="102">
        <f>IF(C189&lt;=C188,E190,0)</f>
        <v>606174.00000000012</v>
      </c>
      <c r="E191" s="102">
        <f>IFERROR(D191/C191,0)</f>
        <v>5051.4500000000007</v>
      </c>
    </row>
    <row r="192" spans="1:10" ht="13.5" customHeight="1" x14ac:dyDescent="0.2">
      <c r="A192" s="111" t="s">
        <v>246</v>
      </c>
      <c r="B192" s="112"/>
      <c r="C192" s="112"/>
      <c r="D192" s="113"/>
      <c r="E192" s="114">
        <f>E186+E191</f>
        <v>6599.4369783333341</v>
      </c>
    </row>
    <row r="193" spans="1:10" ht="13.5" customHeight="1" thickBot="1" x14ac:dyDescent="0.25">
      <c r="A193" s="100" t="s">
        <v>247</v>
      </c>
      <c r="B193" s="101" t="s">
        <v>8</v>
      </c>
      <c r="C193" s="85">
        <v>1</v>
      </c>
      <c r="D193" s="102">
        <f>E192</f>
        <v>6599.4369783333341</v>
      </c>
      <c r="E193" s="114">
        <f>C193*D193</f>
        <v>6599.4369783333341</v>
      </c>
    </row>
    <row r="194" spans="1:10" ht="13.5" customHeight="1" thickBot="1" x14ac:dyDescent="0.25">
      <c r="A194" s="182"/>
      <c r="B194" s="182"/>
      <c r="C194" s="182"/>
      <c r="D194" s="117" t="s">
        <v>194</v>
      </c>
      <c r="E194" s="49">
        <v>0.73</v>
      </c>
      <c r="F194" s="20">
        <f>E193*E194</f>
        <v>4817.5889941833339</v>
      </c>
    </row>
    <row r="195" spans="1:10" ht="13.5" customHeight="1" x14ac:dyDescent="0.2"/>
    <row r="196" spans="1:10" ht="13.5" customHeight="1" thickBot="1" x14ac:dyDescent="0.25">
      <c r="A196" s="104" t="s">
        <v>109</v>
      </c>
    </row>
    <row r="197" spans="1:10" ht="13.5" customHeight="1" thickBot="1" x14ac:dyDescent="0.25">
      <c r="A197" s="59" t="s">
        <v>61</v>
      </c>
      <c r="B197" s="60" t="s">
        <v>62</v>
      </c>
      <c r="C197" s="60" t="s">
        <v>38</v>
      </c>
      <c r="D197" s="205" t="s">
        <v>230</v>
      </c>
      <c r="E197" s="205" t="s">
        <v>63</v>
      </c>
      <c r="F197" s="206" t="s">
        <v>64</v>
      </c>
    </row>
    <row r="198" spans="1:10" ht="13.5" customHeight="1" x14ac:dyDescent="0.2">
      <c r="A198" s="12" t="s">
        <v>107</v>
      </c>
      <c r="B198" s="13" t="s">
        <v>8</v>
      </c>
      <c r="C198" s="183">
        <v>1</v>
      </c>
      <c r="D198" s="14">
        <f>D182</f>
        <v>284993</v>
      </c>
      <c r="E198" s="14">
        <f>C198*D198</f>
        <v>284993</v>
      </c>
      <c r="F198" s="19"/>
      <c r="I198" s="84"/>
      <c r="J198" s="84"/>
    </row>
    <row r="199" spans="1:10" ht="13.5" customHeight="1" x14ac:dyDescent="0.2">
      <c r="A199" s="15" t="s">
        <v>209</v>
      </c>
      <c r="B199" s="16" t="s">
        <v>1</v>
      </c>
      <c r="C199" s="85">
        <v>6.5</v>
      </c>
      <c r="D199" s="17"/>
      <c r="E199" s="17"/>
      <c r="F199" s="19"/>
      <c r="I199" s="84"/>
      <c r="J199" s="84"/>
    </row>
    <row r="200" spans="1:10" ht="13.5" customHeight="1" x14ac:dyDescent="0.2">
      <c r="A200" s="15" t="s">
        <v>207</v>
      </c>
      <c r="B200" s="16" t="s">
        <v>33</v>
      </c>
      <c r="C200" s="136">
        <f>IFERROR(IF(C184&lt;=C183,E182-(C185/(100*C183)*C184)*E182,E182-E185),0)</f>
        <v>284993</v>
      </c>
      <c r="D200" s="17"/>
      <c r="E200" s="17"/>
      <c r="F200" s="19"/>
      <c r="I200" s="84"/>
      <c r="J200" s="84"/>
    </row>
    <row r="201" spans="1:10" ht="13.5" customHeight="1" x14ac:dyDescent="0.2">
      <c r="A201" s="15" t="s">
        <v>112</v>
      </c>
      <c r="B201" s="16" t="s">
        <v>33</v>
      </c>
      <c r="C201" s="82">
        <f>IFERROR(IF(C184&gt;=C183,C200,((((C200)-(E182-E185))*(((C183-C184)+1)/(2*(C183-C184))))+(E182-E185))),0)</f>
        <v>201401.70316999999</v>
      </c>
      <c r="D201" s="17"/>
      <c r="E201" s="17"/>
      <c r="F201" s="19"/>
      <c r="I201" s="84"/>
      <c r="J201" s="84"/>
    </row>
    <row r="202" spans="1:10" ht="13.5" customHeight="1" thickBot="1" x14ac:dyDescent="0.25">
      <c r="A202" s="186" t="s">
        <v>113</v>
      </c>
      <c r="B202" s="187" t="s">
        <v>33</v>
      </c>
      <c r="C202" s="187"/>
      <c r="D202" s="189">
        <f>C199*C201/12/100</f>
        <v>1090.9258921708333</v>
      </c>
      <c r="E202" s="188">
        <f>D202</f>
        <v>1090.9258921708333</v>
      </c>
      <c r="F202" s="19"/>
      <c r="I202" s="84"/>
      <c r="J202" s="84"/>
    </row>
    <row r="203" spans="1:10" ht="13.5" customHeight="1" thickTop="1" x14ac:dyDescent="0.2">
      <c r="A203" s="12" t="s">
        <v>108</v>
      </c>
      <c r="B203" s="13" t="s">
        <v>8</v>
      </c>
      <c r="C203" s="13">
        <f>C187</f>
        <v>1</v>
      </c>
      <c r="D203" s="14">
        <f>D187</f>
        <v>930000</v>
      </c>
      <c r="E203" s="14">
        <f>C203*D203</f>
        <v>930000</v>
      </c>
      <c r="F203" s="19"/>
      <c r="I203" s="84"/>
      <c r="J203" s="84"/>
    </row>
    <row r="204" spans="1:10" ht="13.5" customHeight="1" x14ac:dyDescent="0.2">
      <c r="A204" s="15" t="s">
        <v>209</v>
      </c>
      <c r="B204" s="16" t="s">
        <v>1</v>
      </c>
      <c r="C204" s="184">
        <f>C199</f>
        <v>6.5</v>
      </c>
      <c r="D204" s="17"/>
      <c r="E204" s="17"/>
      <c r="F204" s="19"/>
      <c r="I204" s="84"/>
      <c r="J204" s="84"/>
    </row>
    <row r="205" spans="1:10" ht="13.5" customHeight="1" x14ac:dyDescent="0.2">
      <c r="A205" s="15" t="s">
        <v>208</v>
      </c>
      <c r="B205" s="16" t="s">
        <v>33</v>
      </c>
      <c r="C205" s="136">
        <f>IFERROR(IF(C189&lt;=C188,E187-(C190/(100*C188)*C189)*E187,E187-E190),0)</f>
        <v>930000</v>
      </c>
      <c r="D205" s="17"/>
      <c r="E205" s="17"/>
      <c r="F205" s="19"/>
      <c r="I205" s="84"/>
      <c r="J205" s="84"/>
    </row>
    <row r="206" spans="1:10" ht="13.5" customHeight="1" x14ac:dyDescent="0.2">
      <c r="A206" s="15" t="s">
        <v>114</v>
      </c>
      <c r="B206" s="16" t="s">
        <v>33</v>
      </c>
      <c r="C206" s="82">
        <f>IFERROR(IF(C189&gt;=C188,C205,((((C205)-(E187-E190))*(((C188-C189)+1)/(2*(C188-C189))))+(E187-E190))),0)</f>
        <v>657221.69999999995</v>
      </c>
      <c r="D206" s="17"/>
      <c r="E206" s="17"/>
      <c r="F206" s="19"/>
      <c r="I206" s="84"/>
      <c r="J206" s="84"/>
    </row>
    <row r="207" spans="1:10" ht="13.5" customHeight="1" x14ac:dyDescent="0.2">
      <c r="A207" s="100" t="s">
        <v>111</v>
      </c>
      <c r="B207" s="101" t="s">
        <v>33</v>
      </c>
      <c r="C207" s="101"/>
      <c r="D207" s="107">
        <f>C204*C206/12/100</f>
        <v>3559.9508749999995</v>
      </c>
      <c r="E207" s="102">
        <f>D207</f>
        <v>3559.9508749999995</v>
      </c>
      <c r="F207" s="19"/>
      <c r="I207" s="84"/>
      <c r="J207" s="84"/>
    </row>
    <row r="208" spans="1:10" ht="13.5" customHeight="1" x14ac:dyDescent="0.2">
      <c r="A208" s="111" t="s">
        <v>246</v>
      </c>
      <c r="B208" s="112"/>
      <c r="C208" s="112"/>
      <c r="D208" s="113"/>
      <c r="E208" s="114">
        <f>E202+E207</f>
        <v>4650.8767671708329</v>
      </c>
      <c r="F208" s="19"/>
      <c r="I208" s="84"/>
      <c r="J208" s="84"/>
    </row>
    <row r="209" spans="1:10" ht="13.5" customHeight="1" thickBot="1" x14ac:dyDescent="0.25">
      <c r="A209" s="100" t="s">
        <v>247</v>
      </c>
      <c r="B209" s="101" t="s">
        <v>8</v>
      </c>
      <c r="C209" s="184">
        <f>C193</f>
        <v>1</v>
      </c>
      <c r="D209" s="102">
        <f>E208</f>
        <v>4650.8767671708329</v>
      </c>
      <c r="E209" s="114">
        <f>C209*D209</f>
        <v>4650.8767671708329</v>
      </c>
      <c r="F209" s="19"/>
      <c r="I209" s="84"/>
      <c r="J209" s="84"/>
    </row>
    <row r="210" spans="1:10" ht="13.5" customHeight="1" thickBot="1" x14ac:dyDescent="0.25">
      <c r="C210" s="18"/>
      <c r="D210" s="117" t="s">
        <v>194</v>
      </c>
      <c r="E210" s="49">
        <v>0.73</v>
      </c>
      <c r="F210" s="20">
        <f>E209*E210</f>
        <v>3395.1400400347079</v>
      </c>
      <c r="I210" s="84"/>
      <c r="J210" s="84"/>
    </row>
    <row r="211" spans="1:10" ht="13.5" customHeight="1" x14ac:dyDescent="0.2">
      <c r="I211" s="84"/>
      <c r="J211" s="84"/>
    </row>
    <row r="212" spans="1:10" ht="13.5" customHeight="1" thickBot="1" x14ac:dyDescent="0.25">
      <c r="A212" s="8" t="s">
        <v>48</v>
      </c>
      <c r="I212" s="84"/>
      <c r="J212" s="84"/>
    </row>
    <row r="213" spans="1:10" ht="13.5" customHeight="1" thickBot="1" x14ac:dyDescent="0.25">
      <c r="A213" s="59" t="s">
        <v>61</v>
      </c>
      <c r="B213" s="60" t="s">
        <v>62</v>
      </c>
      <c r="C213" s="60" t="s">
        <v>38</v>
      </c>
      <c r="D213" s="61" t="s">
        <v>230</v>
      </c>
      <c r="E213" s="61" t="s">
        <v>63</v>
      </c>
      <c r="F213" s="62" t="s">
        <v>64</v>
      </c>
      <c r="I213" s="84"/>
      <c r="J213" s="84"/>
    </row>
    <row r="214" spans="1:10" ht="13.5" customHeight="1" x14ac:dyDescent="0.2">
      <c r="A214" s="12" t="s">
        <v>10</v>
      </c>
      <c r="B214" s="13" t="s">
        <v>8</v>
      </c>
      <c r="C214" s="14">
        <f>C193</f>
        <v>1</v>
      </c>
      <c r="D214" s="14">
        <f>0.01*($E$182)</f>
        <v>2849.93</v>
      </c>
      <c r="E214" s="14">
        <f>C214*D214</f>
        <v>2849.93</v>
      </c>
      <c r="I214" s="84"/>
      <c r="J214" s="84"/>
    </row>
    <row r="215" spans="1:10" ht="13.5" customHeight="1" x14ac:dyDescent="0.2">
      <c r="A215" s="15" t="s">
        <v>193</v>
      </c>
      <c r="B215" s="16" t="s">
        <v>8</v>
      </c>
      <c r="C215" s="14">
        <f>C193</f>
        <v>1</v>
      </c>
      <c r="D215" s="87">
        <v>156</v>
      </c>
      <c r="E215" s="17">
        <f>C215*D215</f>
        <v>156</v>
      </c>
      <c r="I215" s="84"/>
      <c r="J215" s="84"/>
    </row>
    <row r="216" spans="1:10" ht="13.5" customHeight="1" x14ac:dyDescent="0.2">
      <c r="A216" s="15" t="s">
        <v>11</v>
      </c>
      <c r="B216" s="16" t="s">
        <v>8</v>
      </c>
      <c r="C216" s="14">
        <f>C193</f>
        <v>1</v>
      </c>
      <c r="D216" s="87">
        <v>2000</v>
      </c>
      <c r="E216" s="17">
        <f>C216*D216</f>
        <v>2000</v>
      </c>
      <c r="F216" s="30"/>
      <c r="I216" s="84"/>
      <c r="J216" s="84"/>
    </row>
    <row r="217" spans="1:10" ht="13.5" customHeight="1" thickBot="1" x14ac:dyDescent="0.25">
      <c r="A217" s="100" t="s">
        <v>12</v>
      </c>
      <c r="B217" s="101" t="s">
        <v>6</v>
      </c>
      <c r="C217" s="101">
        <v>12</v>
      </c>
      <c r="D217" s="102">
        <f>SUM(E214:E216)</f>
        <v>5005.93</v>
      </c>
      <c r="E217" s="208">
        <f>D217/C217</f>
        <v>417.16083333333336</v>
      </c>
      <c r="I217" s="84"/>
      <c r="J217" s="84"/>
    </row>
    <row r="218" spans="1:10" ht="13.5" customHeight="1" thickBot="1" x14ac:dyDescent="0.25">
      <c r="D218" s="117" t="s">
        <v>194</v>
      </c>
      <c r="E218" s="49">
        <v>0.73</v>
      </c>
      <c r="F218" s="118">
        <f>E217*E218</f>
        <v>304.52740833333337</v>
      </c>
      <c r="I218" s="84"/>
      <c r="J218" s="84"/>
    </row>
    <row r="219" spans="1:10" ht="13.5" customHeight="1" x14ac:dyDescent="0.2">
      <c r="I219" s="84"/>
      <c r="J219" s="84"/>
    </row>
    <row r="220" spans="1:10" ht="13.5" customHeight="1" x14ac:dyDescent="0.2">
      <c r="A220" s="8" t="s">
        <v>49</v>
      </c>
      <c r="B220" s="31"/>
      <c r="I220" s="84"/>
      <c r="J220" s="84"/>
    </row>
    <row r="221" spans="1:10" ht="13.5" customHeight="1" x14ac:dyDescent="0.2">
      <c r="A221" s="100" t="s">
        <v>116</v>
      </c>
      <c r="B221" s="108">
        <f>((((21*3)+(19*3))/6)*26)+84*26</f>
        <v>2704</v>
      </c>
      <c r="E221" s="201"/>
      <c r="I221" s="84"/>
      <c r="J221" s="84"/>
    </row>
    <row r="222" spans="1:10" ht="13.5" customHeight="1" thickBot="1" x14ac:dyDescent="0.25">
      <c r="B222" s="31"/>
      <c r="I222" s="84"/>
      <c r="J222" s="84"/>
    </row>
    <row r="223" spans="1:10" ht="13.5" customHeight="1" thickBot="1" x14ac:dyDescent="0.25">
      <c r="A223" s="59" t="s">
        <v>61</v>
      </c>
      <c r="B223" s="60" t="s">
        <v>62</v>
      </c>
      <c r="C223" s="60" t="s">
        <v>245</v>
      </c>
      <c r="D223" s="61" t="s">
        <v>230</v>
      </c>
      <c r="E223" s="61" t="s">
        <v>63</v>
      </c>
      <c r="F223" s="62" t="s">
        <v>64</v>
      </c>
      <c r="I223" s="84"/>
      <c r="J223" s="84"/>
    </row>
    <row r="224" spans="1:10" ht="13.5" customHeight="1" x14ac:dyDescent="0.2">
      <c r="A224" s="12" t="s">
        <v>13</v>
      </c>
      <c r="B224" s="13" t="s">
        <v>14</v>
      </c>
      <c r="C224" s="94">
        <v>2</v>
      </c>
      <c r="D224" s="95">
        <v>3.92</v>
      </c>
      <c r="E224" s="14"/>
      <c r="I224" s="84"/>
      <c r="J224" s="84"/>
    </row>
    <row r="225" spans="1:10" ht="13.5" customHeight="1" x14ac:dyDescent="0.2">
      <c r="A225" s="15" t="s">
        <v>15</v>
      </c>
      <c r="B225" s="16" t="s">
        <v>16</v>
      </c>
      <c r="C225" s="91">
        <f>B221</f>
        <v>2704</v>
      </c>
      <c r="D225" s="181">
        <f>IFERROR(+D224/C224,"-")</f>
        <v>1.96</v>
      </c>
      <c r="E225" s="17">
        <f>IFERROR(C225*D225,"-")</f>
        <v>5299.84</v>
      </c>
      <c r="I225" s="84"/>
      <c r="J225" s="84"/>
    </row>
    <row r="226" spans="1:10" ht="13.5" customHeight="1" x14ac:dyDescent="0.2">
      <c r="A226" s="15" t="s">
        <v>231</v>
      </c>
      <c r="B226" s="16" t="s">
        <v>17</v>
      </c>
      <c r="C226" s="97">
        <v>4.75</v>
      </c>
      <c r="D226" s="87">
        <v>8.6</v>
      </c>
      <c r="E226" s="17"/>
      <c r="I226" s="84"/>
      <c r="J226" s="84"/>
    </row>
    <row r="227" spans="1:10" ht="13.5" customHeight="1" x14ac:dyDescent="0.2">
      <c r="A227" s="15" t="s">
        <v>18</v>
      </c>
      <c r="B227" s="16" t="s">
        <v>16</v>
      </c>
      <c r="C227" s="91">
        <f>C225</f>
        <v>2704</v>
      </c>
      <c r="D227" s="178">
        <f>+C226*D226/1000</f>
        <v>4.0850000000000004E-2</v>
      </c>
      <c r="E227" s="17">
        <f>C227*D227</f>
        <v>110.45840000000001</v>
      </c>
      <c r="G227" s="106"/>
      <c r="H227" s="51"/>
      <c r="I227" s="84"/>
      <c r="J227" s="84"/>
    </row>
    <row r="228" spans="1:10" ht="13.5" customHeight="1" x14ac:dyDescent="0.2">
      <c r="A228" s="15" t="s">
        <v>232</v>
      </c>
      <c r="B228" s="16" t="s">
        <v>17</v>
      </c>
      <c r="C228" s="97">
        <v>0.68</v>
      </c>
      <c r="D228" s="87">
        <v>9.4</v>
      </c>
      <c r="E228" s="17"/>
      <c r="G228" s="106"/>
      <c r="H228" s="51"/>
      <c r="I228" s="84"/>
      <c r="J228" s="84"/>
    </row>
    <row r="229" spans="1:10" ht="13.5" customHeight="1" x14ac:dyDescent="0.2">
      <c r="A229" s="15" t="s">
        <v>19</v>
      </c>
      <c r="B229" s="16" t="s">
        <v>16</v>
      </c>
      <c r="C229" s="91">
        <f>C225</f>
        <v>2704</v>
      </c>
      <c r="D229" s="178">
        <f>+C228*D228/1000</f>
        <v>6.3920000000000001E-3</v>
      </c>
      <c r="E229" s="17">
        <f>C229*D229</f>
        <v>17.283968000000002</v>
      </c>
      <c r="G229" s="106"/>
      <c r="H229" s="51"/>
      <c r="I229" s="84"/>
      <c r="J229" s="84"/>
    </row>
    <row r="230" spans="1:10" ht="13.5" customHeight="1" x14ac:dyDescent="0.2">
      <c r="A230" s="15" t="s">
        <v>233</v>
      </c>
      <c r="B230" s="16" t="s">
        <v>17</v>
      </c>
      <c r="C230" s="97">
        <v>4.3</v>
      </c>
      <c r="D230" s="87">
        <v>8</v>
      </c>
      <c r="E230" s="17"/>
      <c r="G230" s="106"/>
      <c r="H230" s="51"/>
      <c r="I230" s="84"/>
      <c r="J230" s="84"/>
    </row>
    <row r="231" spans="1:10" ht="13.5" customHeight="1" x14ac:dyDescent="0.2">
      <c r="A231" s="15" t="s">
        <v>20</v>
      </c>
      <c r="B231" s="16" t="s">
        <v>16</v>
      </c>
      <c r="C231" s="91">
        <f>C225</f>
        <v>2704</v>
      </c>
      <c r="D231" s="178">
        <f>+C230*D230/1000</f>
        <v>3.44E-2</v>
      </c>
      <c r="E231" s="17">
        <f>C231*D231</f>
        <v>93.017600000000002</v>
      </c>
      <c r="G231" s="106"/>
      <c r="H231" s="51"/>
      <c r="I231" s="84"/>
      <c r="J231" s="84"/>
    </row>
    <row r="232" spans="1:10" ht="13.5" customHeight="1" x14ac:dyDescent="0.2">
      <c r="A232" s="15" t="s">
        <v>21</v>
      </c>
      <c r="B232" s="16" t="s">
        <v>22</v>
      </c>
      <c r="C232" s="97">
        <v>1.63</v>
      </c>
      <c r="D232" s="87">
        <v>11.1</v>
      </c>
      <c r="E232" s="17"/>
      <c r="G232" s="106"/>
      <c r="H232" s="51"/>
      <c r="I232" s="84"/>
      <c r="J232" s="84"/>
    </row>
    <row r="233" spans="1:10" ht="13.5" customHeight="1" x14ac:dyDescent="0.2">
      <c r="A233" s="15" t="s">
        <v>23</v>
      </c>
      <c r="B233" s="16" t="s">
        <v>16</v>
      </c>
      <c r="C233" s="91">
        <f>C225</f>
        <v>2704</v>
      </c>
      <c r="D233" s="178">
        <f>+C232*D232/1000</f>
        <v>1.8093000000000001E-2</v>
      </c>
      <c r="E233" s="17">
        <f>C233*D233</f>
        <v>48.923472000000004</v>
      </c>
      <c r="G233" s="106"/>
      <c r="H233" s="51"/>
      <c r="I233" s="84"/>
      <c r="J233" s="84"/>
    </row>
    <row r="234" spans="1:10" ht="13.5" customHeight="1" thickBot="1" x14ac:dyDescent="0.25">
      <c r="A234" s="100" t="s">
        <v>244</v>
      </c>
      <c r="B234" s="101" t="s">
        <v>117</v>
      </c>
      <c r="C234" s="179"/>
      <c r="D234" s="180">
        <f>IFERROR(D225+D227+D229+D231+D233,0)</f>
        <v>2.0597349999999999</v>
      </c>
      <c r="E234" s="17"/>
      <c r="G234" s="106"/>
      <c r="H234" s="51"/>
      <c r="I234" s="84"/>
      <c r="J234" s="84"/>
    </row>
    <row r="235" spans="1:10" ht="13.5" customHeight="1" thickBot="1" x14ac:dyDescent="0.25">
      <c r="F235" s="20">
        <f>SUM(E224:E233)</f>
        <v>5569.5234400000008</v>
      </c>
      <c r="G235" s="106"/>
      <c r="H235" s="51"/>
      <c r="I235" s="84"/>
      <c r="J235" s="84"/>
    </row>
    <row r="236" spans="1:10" ht="13.5" customHeight="1" x14ac:dyDescent="0.2">
      <c r="I236" s="84"/>
      <c r="J236" s="84"/>
    </row>
    <row r="237" spans="1:10" ht="13.5" customHeight="1" thickBot="1" x14ac:dyDescent="0.25">
      <c r="A237" s="8" t="s">
        <v>50</v>
      </c>
      <c r="I237" s="84"/>
      <c r="J237" s="84"/>
    </row>
    <row r="238" spans="1:10" ht="13.5" customHeight="1" thickBot="1" x14ac:dyDescent="0.25">
      <c r="A238" s="59" t="s">
        <v>61</v>
      </c>
      <c r="B238" s="60" t="s">
        <v>62</v>
      </c>
      <c r="C238" s="60" t="s">
        <v>38</v>
      </c>
      <c r="D238" s="61" t="s">
        <v>230</v>
      </c>
      <c r="E238" s="61" t="s">
        <v>63</v>
      </c>
      <c r="F238" s="62" t="s">
        <v>64</v>
      </c>
      <c r="I238" s="84"/>
      <c r="J238" s="84"/>
    </row>
    <row r="239" spans="1:10" ht="13.5" customHeight="1" thickBot="1" x14ac:dyDescent="0.25">
      <c r="A239" s="12" t="s">
        <v>115</v>
      </c>
      <c r="B239" s="13" t="s">
        <v>117</v>
      </c>
      <c r="C239" s="91">
        <f>C225</f>
        <v>2704</v>
      </c>
      <c r="D239" s="86">
        <v>1.61</v>
      </c>
      <c r="E239" s="14">
        <f>C239*D239</f>
        <v>4353.4400000000005</v>
      </c>
      <c r="I239" s="84"/>
      <c r="J239" s="84"/>
    </row>
    <row r="240" spans="1:10" ht="13.5" customHeight="1" thickBot="1" x14ac:dyDescent="0.25">
      <c r="F240" s="20">
        <f>E239</f>
        <v>4353.4400000000005</v>
      </c>
      <c r="I240" s="84"/>
      <c r="J240" s="84"/>
    </row>
    <row r="241" spans="1:10" ht="13.5" customHeight="1" x14ac:dyDescent="0.2">
      <c r="I241" s="84"/>
      <c r="J241" s="84"/>
    </row>
    <row r="242" spans="1:10" ht="13.5" customHeight="1" thickBot="1" x14ac:dyDescent="0.25">
      <c r="A242" s="8" t="s">
        <v>59</v>
      </c>
      <c r="I242" s="84"/>
      <c r="J242" s="84"/>
    </row>
    <row r="243" spans="1:10" ht="13.5" customHeight="1" thickBot="1" x14ac:dyDescent="0.25">
      <c r="A243" s="59" t="s">
        <v>61</v>
      </c>
      <c r="B243" s="60" t="s">
        <v>62</v>
      </c>
      <c r="C243" s="60" t="s">
        <v>38</v>
      </c>
      <c r="D243" s="61" t="s">
        <v>230</v>
      </c>
      <c r="E243" s="61" t="s">
        <v>63</v>
      </c>
      <c r="F243" s="62" t="s">
        <v>64</v>
      </c>
      <c r="I243" s="84"/>
      <c r="J243" s="84"/>
    </row>
    <row r="244" spans="1:10" ht="13.5" customHeight="1" x14ac:dyDescent="0.2">
      <c r="A244" s="198" t="s">
        <v>319</v>
      </c>
      <c r="B244" s="13" t="s">
        <v>8</v>
      </c>
      <c r="C244" s="93">
        <v>10</v>
      </c>
      <c r="D244" s="86">
        <v>1690</v>
      </c>
      <c r="E244" s="14">
        <f>C244*D244</f>
        <v>16900</v>
      </c>
      <c r="I244" s="84"/>
      <c r="J244" s="84"/>
    </row>
    <row r="245" spans="1:10" ht="13.5" customHeight="1" x14ac:dyDescent="0.2">
      <c r="A245" s="12" t="s">
        <v>118</v>
      </c>
      <c r="B245" s="13" t="s">
        <v>8</v>
      </c>
      <c r="C245" s="93">
        <v>2</v>
      </c>
      <c r="D245" s="103"/>
      <c r="E245" s="14"/>
      <c r="I245" s="84"/>
      <c r="J245" s="84"/>
    </row>
    <row r="246" spans="1:10" ht="13.5" customHeight="1" x14ac:dyDescent="0.2">
      <c r="A246" s="12" t="s">
        <v>69</v>
      </c>
      <c r="B246" s="13" t="s">
        <v>8</v>
      </c>
      <c r="C246" s="218">
        <f>C244*C245</f>
        <v>20</v>
      </c>
      <c r="D246" s="86">
        <v>422.5</v>
      </c>
      <c r="E246" s="14">
        <f>C246*D246</f>
        <v>8450</v>
      </c>
      <c r="I246" s="84"/>
      <c r="J246" s="84"/>
    </row>
    <row r="247" spans="1:10" ht="13.5" customHeight="1" x14ac:dyDescent="0.2">
      <c r="A247" s="197" t="s">
        <v>323</v>
      </c>
      <c r="B247" s="16" t="s">
        <v>24</v>
      </c>
      <c r="C247" s="96">
        <v>45000</v>
      </c>
      <c r="D247" s="17">
        <f>E244+E246</f>
        <v>25350</v>
      </c>
      <c r="E247" s="17">
        <f>IFERROR(D247/C247,"-")</f>
        <v>0.56333333333333335</v>
      </c>
      <c r="I247" s="84"/>
      <c r="J247" s="84"/>
    </row>
    <row r="248" spans="1:10" ht="13.5" customHeight="1" thickBot="1" x14ac:dyDescent="0.25">
      <c r="A248" s="15" t="s">
        <v>52</v>
      </c>
      <c r="B248" s="16" t="s">
        <v>16</v>
      </c>
      <c r="C248" s="91">
        <f>B221</f>
        <v>2704</v>
      </c>
      <c r="D248" s="17">
        <f>E247</f>
        <v>0.56333333333333335</v>
      </c>
      <c r="E248" s="17">
        <f>IFERROR(C248*D248,0)</f>
        <v>1523.2533333333333</v>
      </c>
      <c r="I248" s="84"/>
      <c r="J248" s="84"/>
    </row>
    <row r="249" spans="1:10" ht="13.5" customHeight="1" thickBot="1" x14ac:dyDescent="0.25">
      <c r="F249" s="20">
        <f>E248</f>
        <v>1523.2533333333333</v>
      </c>
      <c r="I249" s="84"/>
      <c r="J249" s="84"/>
    </row>
    <row r="250" spans="1:10" ht="13.5" customHeight="1" x14ac:dyDescent="0.2">
      <c r="F250" s="196"/>
      <c r="I250" s="84"/>
      <c r="J250" s="84"/>
    </row>
    <row r="251" spans="1:10" ht="13.5" customHeight="1" x14ac:dyDescent="0.2">
      <c r="F251" s="196"/>
      <c r="I251" s="84"/>
      <c r="J251" s="84"/>
    </row>
    <row r="252" spans="1:10" ht="13.5" customHeight="1" x14ac:dyDescent="0.2">
      <c r="A252" s="6" t="s">
        <v>341</v>
      </c>
      <c r="I252" s="84"/>
      <c r="J252" s="84"/>
    </row>
    <row r="253" spans="1:10" ht="13.5" customHeight="1" x14ac:dyDescent="0.2">
      <c r="I253" s="84"/>
      <c r="J253" s="84"/>
    </row>
    <row r="254" spans="1:10" ht="13.5" customHeight="1" thickBot="1" x14ac:dyDescent="0.25">
      <c r="A254" s="104" t="s">
        <v>297</v>
      </c>
      <c r="I254" s="84"/>
      <c r="J254" s="84"/>
    </row>
    <row r="255" spans="1:10" ht="13.5" customHeight="1" thickBot="1" x14ac:dyDescent="0.25">
      <c r="A255" s="59" t="s">
        <v>61</v>
      </c>
      <c r="B255" s="60" t="s">
        <v>62</v>
      </c>
      <c r="C255" s="60" t="s">
        <v>38</v>
      </c>
      <c r="D255" s="61" t="s">
        <v>230</v>
      </c>
      <c r="E255" s="61" t="s">
        <v>63</v>
      </c>
      <c r="F255" s="62" t="s">
        <v>64</v>
      </c>
      <c r="G255" s="8"/>
    </row>
    <row r="256" spans="1:10" ht="13.5" customHeight="1" x14ac:dyDescent="0.2">
      <c r="A256" s="12" t="s">
        <v>103</v>
      </c>
      <c r="B256" s="13" t="s">
        <v>8</v>
      </c>
      <c r="C256" s="183">
        <v>1</v>
      </c>
      <c r="D256" s="86">
        <v>254300</v>
      </c>
      <c r="E256" s="14">
        <f>C256*D256</f>
        <v>254300</v>
      </c>
      <c r="G256" s="8"/>
    </row>
    <row r="257" spans="1:7" ht="13.5" customHeight="1" x14ac:dyDescent="0.2">
      <c r="A257" s="15" t="s">
        <v>97</v>
      </c>
      <c r="B257" s="16" t="s">
        <v>98</v>
      </c>
      <c r="C257" s="85">
        <v>10</v>
      </c>
      <c r="D257" s="82"/>
      <c r="E257" s="17"/>
      <c r="G257" s="8"/>
    </row>
    <row r="258" spans="1:7" ht="13.5" customHeight="1" x14ac:dyDescent="0.2">
      <c r="A258" s="15" t="s">
        <v>205</v>
      </c>
      <c r="B258" s="16" t="s">
        <v>98</v>
      </c>
      <c r="C258" s="85">
        <v>0</v>
      </c>
      <c r="D258" s="17"/>
      <c r="E258" s="17"/>
      <c r="F258" s="19"/>
      <c r="G258" s="8"/>
    </row>
    <row r="259" spans="1:7" ht="13.5" customHeight="1" x14ac:dyDescent="0.2">
      <c r="A259" s="15" t="s">
        <v>101</v>
      </c>
      <c r="B259" s="16" t="s">
        <v>1</v>
      </c>
      <c r="C259" s="130">
        <f>IFERROR(VLOOKUP(C257,'5. Depreciação'!B5:C19,2,FALSE),0)</f>
        <v>65.180000000000007</v>
      </c>
      <c r="D259" s="17">
        <f>E256</f>
        <v>254300</v>
      </c>
      <c r="E259" s="17">
        <f>C259*D259/100</f>
        <v>165752.74000000002</v>
      </c>
      <c r="G259" s="8"/>
    </row>
    <row r="260" spans="1:7" ht="13.5" customHeight="1" thickBot="1" x14ac:dyDescent="0.25">
      <c r="A260" s="186" t="s">
        <v>47</v>
      </c>
      <c r="B260" s="187" t="s">
        <v>6</v>
      </c>
      <c r="C260" s="187">
        <f>C257*12</f>
        <v>120</v>
      </c>
      <c r="D260" s="188">
        <f>IF(C258&lt;=C257,E259,0)</f>
        <v>165752.74000000002</v>
      </c>
      <c r="E260" s="188">
        <f>IFERROR(D260/C260,0)</f>
        <v>1381.2728333333334</v>
      </c>
      <c r="G260" s="8"/>
    </row>
    <row r="261" spans="1:7" ht="13.5" customHeight="1" thickTop="1" x14ac:dyDescent="0.2">
      <c r="A261" s="198" t="s">
        <v>308</v>
      </c>
      <c r="B261" s="13" t="s">
        <v>8</v>
      </c>
      <c r="C261" s="13">
        <f>C256</f>
        <v>1</v>
      </c>
      <c r="D261" s="86">
        <v>1150000</v>
      </c>
      <c r="E261" s="14">
        <f>C261*D261</f>
        <v>1150000</v>
      </c>
      <c r="G261" s="8"/>
    </row>
    <row r="262" spans="1:7" ht="13.5" customHeight="1" x14ac:dyDescent="0.2">
      <c r="A262" s="197" t="s">
        <v>309</v>
      </c>
      <c r="B262" s="16" t="s">
        <v>98</v>
      </c>
      <c r="C262" s="85">
        <v>10</v>
      </c>
      <c r="D262" s="17"/>
      <c r="E262" s="17"/>
      <c r="G262" s="8"/>
    </row>
    <row r="263" spans="1:7" ht="13.5" customHeight="1" x14ac:dyDescent="0.2">
      <c r="A263" s="197" t="s">
        <v>310</v>
      </c>
      <c r="B263" s="16" t="s">
        <v>98</v>
      </c>
      <c r="C263" s="85">
        <v>0</v>
      </c>
      <c r="D263" s="17"/>
      <c r="E263" s="17"/>
      <c r="F263" s="19"/>
      <c r="G263" s="8"/>
    </row>
    <row r="264" spans="1:7" ht="13.5" customHeight="1" x14ac:dyDescent="0.2">
      <c r="A264" s="197" t="s">
        <v>311</v>
      </c>
      <c r="B264" s="16" t="s">
        <v>1</v>
      </c>
      <c r="C264" s="131">
        <f>IFERROR(VLOOKUP(C262,'5. Depreciação'!B5:C19,2,FALSE),0)</f>
        <v>65.180000000000007</v>
      </c>
      <c r="D264" s="17">
        <f>E261</f>
        <v>1150000</v>
      </c>
      <c r="E264" s="17">
        <f>C264*D264/100</f>
        <v>749570.00000000012</v>
      </c>
      <c r="G264" s="8"/>
    </row>
    <row r="265" spans="1:7" ht="13.5" customHeight="1" x14ac:dyDescent="0.2">
      <c r="A265" s="100" t="s">
        <v>312</v>
      </c>
      <c r="B265" s="101" t="s">
        <v>6</v>
      </c>
      <c r="C265" s="101">
        <f>C262*12</f>
        <v>120</v>
      </c>
      <c r="D265" s="102">
        <f>IF(C263&lt;=C262,E264,0)</f>
        <v>749570.00000000012</v>
      </c>
      <c r="E265" s="102">
        <f>IFERROR(D265/C265,0)</f>
        <v>6246.4166666666679</v>
      </c>
      <c r="G265" s="8"/>
    </row>
    <row r="266" spans="1:7" ht="13.5" customHeight="1" x14ac:dyDescent="0.2">
      <c r="A266" s="111" t="s">
        <v>246</v>
      </c>
      <c r="B266" s="112"/>
      <c r="C266" s="112"/>
      <c r="D266" s="113"/>
      <c r="E266" s="114">
        <f>E260+E265</f>
        <v>7627.6895000000013</v>
      </c>
      <c r="G266" s="8"/>
    </row>
    <row r="267" spans="1:7" ht="13.5" customHeight="1" thickBot="1" x14ac:dyDescent="0.25">
      <c r="A267" s="100" t="s">
        <v>247</v>
      </c>
      <c r="B267" s="101" t="s">
        <v>8</v>
      </c>
      <c r="C267" s="85">
        <v>1</v>
      </c>
      <c r="D267" s="102">
        <f>E266</f>
        <v>7627.6895000000013</v>
      </c>
      <c r="E267" s="114">
        <f>C267*D267</f>
        <v>7627.6895000000013</v>
      </c>
      <c r="G267" s="8"/>
    </row>
    <row r="268" spans="1:7" ht="13.5" customHeight="1" thickBot="1" x14ac:dyDescent="0.25">
      <c r="A268" s="182"/>
      <c r="B268" s="182"/>
      <c r="C268" s="182"/>
      <c r="D268" s="117" t="s">
        <v>194</v>
      </c>
      <c r="E268" s="49">
        <v>0.25</v>
      </c>
      <c r="F268" s="20">
        <f>E267*E268</f>
        <v>1906.9223750000003</v>
      </c>
      <c r="G268" s="8"/>
    </row>
    <row r="269" spans="1:7" ht="13.5" customHeight="1" thickBot="1" x14ac:dyDescent="0.25">
      <c r="A269" s="104" t="s">
        <v>306</v>
      </c>
    </row>
    <row r="270" spans="1:7" ht="13.5" customHeight="1" thickBot="1" x14ac:dyDescent="0.25">
      <c r="A270" s="59" t="s">
        <v>61</v>
      </c>
      <c r="B270" s="60" t="s">
        <v>62</v>
      </c>
      <c r="C270" s="60" t="s">
        <v>38</v>
      </c>
      <c r="D270" s="205" t="s">
        <v>230</v>
      </c>
      <c r="E270" s="205" t="s">
        <v>63</v>
      </c>
      <c r="F270" s="206" t="s">
        <v>64</v>
      </c>
    </row>
    <row r="271" spans="1:7" ht="13.5" customHeight="1" x14ac:dyDescent="0.2">
      <c r="A271" s="12" t="s">
        <v>107</v>
      </c>
      <c r="B271" s="13" t="s">
        <v>8</v>
      </c>
      <c r="C271" s="183">
        <v>1</v>
      </c>
      <c r="D271" s="14">
        <f>D256</f>
        <v>254300</v>
      </c>
      <c r="E271" s="14">
        <f>C271*D271</f>
        <v>254300</v>
      </c>
      <c r="F271" s="19"/>
    </row>
    <row r="272" spans="1:7" ht="13.5" customHeight="1" x14ac:dyDescent="0.2">
      <c r="A272" s="15" t="s">
        <v>209</v>
      </c>
      <c r="B272" s="16" t="s">
        <v>1</v>
      </c>
      <c r="C272" s="85">
        <v>6.5</v>
      </c>
      <c r="D272" s="17"/>
      <c r="E272" s="17"/>
      <c r="F272" s="19"/>
    </row>
    <row r="273" spans="1:7" ht="13.5" customHeight="1" x14ac:dyDescent="0.2">
      <c r="A273" s="15" t="s">
        <v>207</v>
      </c>
      <c r="B273" s="16" t="s">
        <v>33</v>
      </c>
      <c r="C273" s="136">
        <f>IFERROR(IF(C258&lt;=C257,E256-(C259/(100*C257)*C258)*E256,E256-E259),0)</f>
        <v>254300</v>
      </c>
      <c r="D273" s="17"/>
      <c r="E273" s="17"/>
      <c r="F273" s="19"/>
    </row>
    <row r="274" spans="1:7" ht="13.5" customHeight="1" x14ac:dyDescent="0.2">
      <c r="A274" s="15" t="s">
        <v>112</v>
      </c>
      <c r="B274" s="16" t="s">
        <v>33</v>
      </c>
      <c r="C274" s="82">
        <f>IFERROR(IF(C258&gt;=C257,C273,((((C273)-(E256-E259))*(((C257-C258)+1)/(2*(C257-C258))))+(E256-E259))),0)</f>
        <v>179711.26699999999</v>
      </c>
      <c r="D274" s="17"/>
      <c r="E274" s="17"/>
      <c r="F274" s="19"/>
    </row>
    <row r="275" spans="1:7" ht="13.5" customHeight="1" thickBot="1" x14ac:dyDescent="0.25">
      <c r="A275" s="186" t="s">
        <v>113</v>
      </c>
      <c r="B275" s="187" t="s">
        <v>33</v>
      </c>
      <c r="C275" s="187"/>
      <c r="D275" s="189">
        <f>C272*C274/12/100</f>
        <v>973.43602958333327</v>
      </c>
      <c r="E275" s="188">
        <f>D275</f>
        <v>973.43602958333327</v>
      </c>
      <c r="F275" s="19"/>
    </row>
    <row r="276" spans="1:7" ht="13.5" customHeight="1" thickTop="1" x14ac:dyDescent="0.2">
      <c r="A276" s="12" t="s">
        <v>108</v>
      </c>
      <c r="B276" s="13" t="s">
        <v>8</v>
      </c>
      <c r="C276" s="13">
        <f>C261</f>
        <v>1</v>
      </c>
      <c r="D276" s="14">
        <f>D261</f>
        <v>1150000</v>
      </c>
      <c r="E276" s="14">
        <f>C276*D276</f>
        <v>1150000</v>
      </c>
      <c r="F276" s="19"/>
    </row>
    <row r="277" spans="1:7" s="50" customFormat="1" ht="13.5" customHeight="1" x14ac:dyDescent="0.2">
      <c r="A277" s="15" t="s">
        <v>209</v>
      </c>
      <c r="B277" s="16" t="s">
        <v>1</v>
      </c>
      <c r="C277" s="184">
        <f>C272</f>
        <v>6.5</v>
      </c>
      <c r="D277" s="17"/>
      <c r="E277" s="17"/>
      <c r="F277" s="19"/>
      <c r="G277" s="83"/>
    </row>
    <row r="278" spans="1:7" ht="13.5" customHeight="1" x14ac:dyDescent="0.2">
      <c r="A278" s="15" t="s">
        <v>208</v>
      </c>
      <c r="B278" s="16" t="s">
        <v>33</v>
      </c>
      <c r="C278" s="136">
        <f>IFERROR(IF(C263&lt;=C262,E261-(C264/(100*C262)*C263)*E261,E261-E264),0)</f>
        <v>1150000</v>
      </c>
      <c r="D278" s="17"/>
      <c r="E278" s="17"/>
      <c r="F278" s="19"/>
    </row>
    <row r="279" spans="1:7" ht="13.5" customHeight="1" x14ac:dyDescent="0.2">
      <c r="A279" s="15" t="s">
        <v>114</v>
      </c>
      <c r="B279" s="16" t="s">
        <v>33</v>
      </c>
      <c r="C279" s="82">
        <f>IFERROR(IF(C263&gt;=C262,C278,((((C278)-(E261-E264))*(((C262-C263)+1)/(2*(C262-C263))))+(E261-E264))),0)</f>
        <v>812693.5</v>
      </c>
      <c r="D279" s="17"/>
      <c r="E279" s="17"/>
      <c r="F279" s="19"/>
    </row>
    <row r="280" spans="1:7" ht="13.5" customHeight="1" x14ac:dyDescent="0.2">
      <c r="A280" s="100" t="s">
        <v>111</v>
      </c>
      <c r="B280" s="101" t="s">
        <v>33</v>
      </c>
      <c r="C280" s="101"/>
      <c r="D280" s="107">
        <f>C277*C279/12/100</f>
        <v>4402.0897916666672</v>
      </c>
      <c r="E280" s="102">
        <f>D280</f>
        <v>4402.0897916666672</v>
      </c>
      <c r="F280" s="19"/>
    </row>
    <row r="281" spans="1:7" ht="13.5" customHeight="1" x14ac:dyDescent="0.2">
      <c r="A281" s="111" t="s">
        <v>246</v>
      </c>
      <c r="B281" s="112"/>
      <c r="C281" s="112"/>
      <c r="D281" s="113"/>
      <c r="E281" s="114">
        <f>E275+E280</f>
        <v>5375.5258212500003</v>
      </c>
      <c r="F281" s="19"/>
    </row>
    <row r="282" spans="1:7" ht="13.5" customHeight="1" thickBot="1" x14ac:dyDescent="0.25">
      <c r="A282" s="100" t="s">
        <v>247</v>
      </c>
      <c r="B282" s="101" t="s">
        <v>8</v>
      </c>
      <c r="C282" s="184">
        <f>C267</f>
        <v>1</v>
      </c>
      <c r="D282" s="102">
        <f>E281</f>
        <v>5375.5258212500003</v>
      </c>
      <c r="E282" s="114">
        <f>C282*D282</f>
        <v>5375.5258212500003</v>
      </c>
      <c r="F282" s="19"/>
    </row>
    <row r="283" spans="1:7" ht="13.5" customHeight="1" thickBot="1" x14ac:dyDescent="0.25">
      <c r="C283" s="18"/>
      <c r="D283" s="117" t="s">
        <v>194</v>
      </c>
      <c r="E283" s="49">
        <v>0.25</v>
      </c>
      <c r="F283" s="20">
        <f>E282*E283</f>
        <v>1343.8814553125001</v>
      </c>
    </row>
    <row r="284" spans="1:7" ht="13.5" customHeight="1" x14ac:dyDescent="0.2"/>
    <row r="285" spans="1:7" ht="13.5" customHeight="1" thickBot="1" x14ac:dyDescent="0.25">
      <c r="A285" s="6" t="s">
        <v>290</v>
      </c>
    </row>
    <row r="286" spans="1:7" ht="13.5" customHeight="1" thickBot="1" x14ac:dyDescent="0.25">
      <c r="A286" s="59" t="s">
        <v>61</v>
      </c>
      <c r="B286" s="60" t="s">
        <v>62</v>
      </c>
      <c r="C286" s="60" t="s">
        <v>38</v>
      </c>
      <c r="D286" s="61" t="s">
        <v>230</v>
      </c>
      <c r="E286" s="61" t="s">
        <v>63</v>
      </c>
      <c r="F286" s="62" t="s">
        <v>64</v>
      </c>
    </row>
    <row r="287" spans="1:7" ht="13.5" customHeight="1" x14ac:dyDescent="0.2">
      <c r="A287" s="12" t="s">
        <v>10</v>
      </c>
      <c r="B287" s="13" t="s">
        <v>8</v>
      </c>
      <c r="C287" s="14">
        <f>C267</f>
        <v>1</v>
      </c>
      <c r="D287" s="14">
        <f>0.01*($E$182)</f>
        <v>2849.93</v>
      </c>
      <c r="E287" s="14">
        <f>C287*D287</f>
        <v>2849.93</v>
      </c>
    </row>
    <row r="288" spans="1:7" ht="13.5" customHeight="1" x14ac:dyDescent="0.2">
      <c r="A288" s="15" t="s">
        <v>193</v>
      </c>
      <c r="B288" s="16" t="s">
        <v>8</v>
      </c>
      <c r="C288" s="14">
        <f>C267</f>
        <v>1</v>
      </c>
      <c r="D288" s="87">
        <v>156</v>
      </c>
      <c r="E288" s="17">
        <f>C288*D288</f>
        <v>156</v>
      </c>
    </row>
    <row r="289" spans="1:7" ht="13.5" customHeight="1" x14ac:dyDescent="0.2">
      <c r="A289" s="15" t="s">
        <v>11</v>
      </c>
      <c r="B289" s="16" t="s">
        <v>8</v>
      </c>
      <c r="C289" s="14">
        <f>C267</f>
        <v>1</v>
      </c>
      <c r="D289" s="87">
        <v>2000</v>
      </c>
      <c r="E289" s="17">
        <f>C289*D289</f>
        <v>2000</v>
      </c>
      <c r="F289" s="30"/>
    </row>
    <row r="290" spans="1:7" ht="13.5" customHeight="1" thickBot="1" x14ac:dyDescent="0.25">
      <c r="A290" s="100" t="s">
        <v>12</v>
      </c>
      <c r="B290" s="101" t="s">
        <v>6</v>
      </c>
      <c r="C290" s="101">
        <v>12</v>
      </c>
      <c r="D290" s="102">
        <f>SUM(E287:E289)</f>
        <v>5005.93</v>
      </c>
      <c r="E290" s="102">
        <f>D290/C290</f>
        <v>417.16083333333336</v>
      </c>
    </row>
    <row r="291" spans="1:7" ht="13.5" customHeight="1" thickBot="1" x14ac:dyDescent="0.25">
      <c r="D291" s="117" t="s">
        <v>194</v>
      </c>
      <c r="E291" s="49">
        <v>0.25</v>
      </c>
      <c r="F291" s="118">
        <f>E290*E291</f>
        <v>104.29020833333334</v>
      </c>
    </row>
    <row r="292" spans="1:7" ht="13.5" customHeight="1" x14ac:dyDescent="0.2"/>
    <row r="293" spans="1:7" ht="13.5" customHeight="1" x14ac:dyDescent="0.2">
      <c r="A293" s="6" t="s">
        <v>289</v>
      </c>
      <c r="B293" s="31"/>
    </row>
    <row r="294" spans="1:7" ht="13.5" customHeight="1" x14ac:dyDescent="0.2">
      <c r="A294" s="100" t="s">
        <v>116</v>
      </c>
      <c r="B294" s="108">
        <v>496</v>
      </c>
    </row>
    <row r="295" spans="1:7" ht="13.5" customHeight="1" thickBot="1" x14ac:dyDescent="0.25">
      <c r="B295" s="31"/>
      <c r="G295" s="9" t="s">
        <v>202</v>
      </c>
    </row>
    <row r="296" spans="1:7" ht="13.5" customHeight="1" thickBot="1" x14ac:dyDescent="0.25">
      <c r="A296" s="59" t="s">
        <v>61</v>
      </c>
      <c r="B296" s="60" t="s">
        <v>62</v>
      </c>
      <c r="C296" s="60" t="s">
        <v>245</v>
      </c>
      <c r="D296" s="61" t="s">
        <v>230</v>
      </c>
      <c r="E296" s="61" t="s">
        <v>63</v>
      </c>
      <c r="F296" s="62" t="s">
        <v>64</v>
      </c>
    </row>
    <row r="297" spans="1:7" s="4" customFormat="1" ht="13.5" customHeight="1" x14ac:dyDescent="0.2">
      <c r="A297" s="12" t="s">
        <v>13</v>
      </c>
      <c r="B297" s="13" t="s">
        <v>14</v>
      </c>
      <c r="C297" s="94">
        <v>2</v>
      </c>
      <c r="D297" s="95">
        <v>3.92</v>
      </c>
      <c r="E297" s="14"/>
      <c r="F297" s="9"/>
      <c r="G297" s="5"/>
    </row>
    <row r="298" spans="1:7" s="4" customFormat="1" ht="13.5" customHeight="1" x14ac:dyDescent="0.2">
      <c r="A298" s="15" t="s">
        <v>15</v>
      </c>
      <c r="B298" s="16" t="s">
        <v>16</v>
      </c>
      <c r="C298" s="91">
        <f>B294</f>
        <v>496</v>
      </c>
      <c r="D298" s="181">
        <f>IFERROR(+D297/C297,"-")</f>
        <v>1.96</v>
      </c>
      <c r="E298" s="17">
        <f>IFERROR(C298*D298,"-")</f>
        <v>972.16</v>
      </c>
      <c r="F298" s="9"/>
      <c r="G298" s="5"/>
    </row>
    <row r="299" spans="1:7" s="4" customFormat="1" ht="13.5" customHeight="1" x14ac:dyDescent="0.2">
      <c r="A299" s="15" t="s">
        <v>231</v>
      </c>
      <c r="B299" s="16" t="s">
        <v>17</v>
      </c>
      <c r="C299" s="97">
        <v>4.75</v>
      </c>
      <c r="D299" s="87">
        <v>8.6</v>
      </c>
      <c r="E299" s="17"/>
      <c r="F299" s="9"/>
      <c r="G299" s="5"/>
    </row>
    <row r="300" spans="1:7" ht="13.5" customHeight="1" x14ac:dyDescent="0.2">
      <c r="A300" s="15" t="s">
        <v>18</v>
      </c>
      <c r="B300" s="16" t="s">
        <v>16</v>
      </c>
      <c r="C300" s="91">
        <f>C298</f>
        <v>496</v>
      </c>
      <c r="D300" s="178">
        <f>+C299*D299/1000</f>
        <v>4.0850000000000004E-2</v>
      </c>
      <c r="E300" s="17">
        <f>C300*D300</f>
        <v>20.261600000000001</v>
      </c>
    </row>
    <row r="301" spans="1:7" ht="13.5" customHeight="1" x14ac:dyDescent="0.2">
      <c r="A301" s="15" t="s">
        <v>232</v>
      </c>
      <c r="B301" s="16" t="s">
        <v>17</v>
      </c>
      <c r="C301" s="97">
        <v>0.68</v>
      </c>
      <c r="D301" s="87">
        <v>9.4</v>
      </c>
      <c r="E301" s="17"/>
    </row>
    <row r="302" spans="1:7" ht="13.5" customHeight="1" x14ac:dyDescent="0.2">
      <c r="A302" s="15" t="s">
        <v>19</v>
      </c>
      <c r="B302" s="16" t="s">
        <v>16</v>
      </c>
      <c r="C302" s="91">
        <f>C298</f>
        <v>496</v>
      </c>
      <c r="D302" s="178">
        <f>+C301*D301/1000</f>
        <v>6.3920000000000001E-3</v>
      </c>
      <c r="E302" s="17">
        <f>C302*D302</f>
        <v>3.1704319999999999</v>
      </c>
    </row>
    <row r="303" spans="1:7" ht="13.5" customHeight="1" x14ac:dyDescent="0.2">
      <c r="A303" s="15" t="s">
        <v>233</v>
      </c>
      <c r="B303" s="16" t="s">
        <v>17</v>
      </c>
      <c r="C303" s="97">
        <v>4.3</v>
      </c>
      <c r="D303" s="87">
        <v>8</v>
      </c>
      <c r="E303" s="17"/>
    </row>
    <row r="304" spans="1:7" ht="13.5" customHeight="1" x14ac:dyDescent="0.2">
      <c r="A304" s="15" t="s">
        <v>20</v>
      </c>
      <c r="B304" s="16" t="s">
        <v>16</v>
      </c>
      <c r="C304" s="91">
        <f>C298</f>
        <v>496</v>
      </c>
      <c r="D304" s="178">
        <f>+C303*D303/1000</f>
        <v>3.44E-2</v>
      </c>
      <c r="E304" s="17">
        <f>C304*D304</f>
        <v>17.0624</v>
      </c>
    </row>
    <row r="305" spans="1:6" ht="13.5" customHeight="1" x14ac:dyDescent="0.2">
      <c r="A305" s="15" t="s">
        <v>21</v>
      </c>
      <c r="B305" s="16" t="s">
        <v>22</v>
      </c>
      <c r="C305" s="97">
        <v>1.63</v>
      </c>
      <c r="D305" s="87">
        <v>11.1</v>
      </c>
      <c r="E305" s="17"/>
    </row>
    <row r="306" spans="1:6" ht="13.5" customHeight="1" x14ac:dyDescent="0.2">
      <c r="A306" s="15" t="s">
        <v>23</v>
      </c>
      <c r="B306" s="16" t="s">
        <v>16</v>
      </c>
      <c r="C306" s="91">
        <f>C298</f>
        <v>496</v>
      </c>
      <c r="D306" s="178">
        <f>+C305*D305/1000</f>
        <v>1.8093000000000001E-2</v>
      </c>
      <c r="E306" s="17">
        <f>C306*D306</f>
        <v>8.9741280000000003</v>
      </c>
    </row>
    <row r="307" spans="1:6" ht="13.5" customHeight="1" thickBot="1" x14ac:dyDescent="0.25">
      <c r="A307" s="100" t="s">
        <v>244</v>
      </c>
      <c r="B307" s="101" t="s">
        <v>117</v>
      </c>
      <c r="C307" s="179"/>
      <c r="D307" s="180">
        <f>IFERROR(D298+D300+D302+D304+D306,0)</f>
        <v>2.0597349999999999</v>
      </c>
      <c r="E307" s="17"/>
    </row>
    <row r="308" spans="1:6" ht="13.5" customHeight="1" thickBot="1" x14ac:dyDescent="0.25">
      <c r="F308" s="20">
        <f>SUM(E297:E306)</f>
        <v>1021.62856</v>
      </c>
    </row>
    <row r="309" spans="1:6" ht="13.5" customHeight="1" x14ac:dyDescent="0.2"/>
    <row r="310" spans="1:6" ht="13.5" customHeight="1" thickBot="1" x14ac:dyDescent="0.25">
      <c r="A310" s="6" t="s">
        <v>288</v>
      </c>
    </row>
    <row r="311" spans="1:6" ht="13.5" customHeight="1" thickBot="1" x14ac:dyDescent="0.25">
      <c r="A311" s="59" t="s">
        <v>61</v>
      </c>
      <c r="B311" s="60" t="s">
        <v>62</v>
      </c>
      <c r="C311" s="60" t="s">
        <v>38</v>
      </c>
      <c r="D311" s="61" t="s">
        <v>230</v>
      </c>
      <c r="E311" s="61" t="s">
        <v>63</v>
      </c>
      <c r="F311" s="62" t="s">
        <v>64</v>
      </c>
    </row>
    <row r="312" spans="1:6" ht="13.5" customHeight="1" thickBot="1" x14ac:dyDescent="0.25">
      <c r="A312" s="12" t="s">
        <v>115</v>
      </c>
      <c r="B312" s="13" t="s">
        <v>117</v>
      </c>
      <c r="C312" s="91">
        <f>C298</f>
        <v>496</v>
      </c>
      <c r="D312" s="86">
        <v>1.48</v>
      </c>
      <c r="E312" s="14">
        <f>C312*D312</f>
        <v>734.08</v>
      </c>
    </row>
    <row r="313" spans="1:6" ht="13.5" customHeight="1" thickBot="1" x14ac:dyDescent="0.25">
      <c r="F313" s="20">
        <f>E312</f>
        <v>734.08</v>
      </c>
    </row>
    <row r="314" spans="1:6" ht="13.5" customHeight="1" x14ac:dyDescent="0.2"/>
    <row r="315" spans="1:6" ht="13.5" customHeight="1" thickBot="1" x14ac:dyDescent="0.25">
      <c r="A315" s="6" t="s">
        <v>287</v>
      </c>
    </row>
    <row r="316" spans="1:6" ht="13.5" customHeight="1" thickBot="1" x14ac:dyDescent="0.25">
      <c r="A316" s="59" t="s">
        <v>61</v>
      </c>
      <c r="B316" s="60" t="s">
        <v>62</v>
      </c>
      <c r="C316" s="60" t="s">
        <v>38</v>
      </c>
      <c r="D316" s="61" t="s">
        <v>230</v>
      </c>
      <c r="E316" s="61" t="s">
        <v>63</v>
      </c>
      <c r="F316" s="62" t="s">
        <v>64</v>
      </c>
    </row>
    <row r="317" spans="1:6" ht="13.5" customHeight="1" x14ac:dyDescent="0.2">
      <c r="A317" s="198" t="s">
        <v>319</v>
      </c>
      <c r="B317" s="13" t="s">
        <v>8</v>
      </c>
      <c r="C317" s="93">
        <v>6</v>
      </c>
      <c r="D317" s="86">
        <v>1690</v>
      </c>
      <c r="E317" s="14">
        <f>C317*D317</f>
        <v>10140</v>
      </c>
    </row>
    <row r="318" spans="1:6" ht="13.5" customHeight="1" x14ac:dyDescent="0.2">
      <c r="A318" s="12" t="s">
        <v>118</v>
      </c>
      <c r="B318" s="13" t="s">
        <v>8</v>
      </c>
      <c r="C318" s="93">
        <v>2</v>
      </c>
      <c r="D318" s="103"/>
      <c r="E318" s="14"/>
    </row>
    <row r="319" spans="1:6" ht="13.5" customHeight="1" x14ac:dyDescent="0.2">
      <c r="A319" s="12" t="s">
        <v>69</v>
      </c>
      <c r="B319" s="13" t="s">
        <v>8</v>
      </c>
      <c r="C319" s="14">
        <f>C317*C318</f>
        <v>12</v>
      </c>
      <c r="D319" s="86">
        <v>422.5</v>
      </c>
      <c r="E319" s="14">
        <f>C319*D319</f>
        <v>5070</v>
      </c>
    </row>
    <row r="320" spans="1:6" ht="13.5" customHeight="1" x14ac:dyDescent="0.2">
      <c r="A320" s="197" t="s">
        <v>323</v>
      </c>
      <c r="B320" s="16" t="s">
        <v>24</v>
      </c>
      <c r="C320" s="96">
        <v>45000</v>
      </c>
      <c r="D320" s="17">
        <f>E317+E319</f>
        <v>15210</v>
      </c>
      <c r="E320" s="17">
        <f>IFERROR(D320/C320,"-")</f>
        <v>0.33800000000000002</v>
      </c>
    </row>
    <row r="321" spans="1:10" ht="13.5" customHeight="1" thickBot="1" x14ac:dyDescent="0.25">
      <c r="A321" s="15" t="s">
        <v>52</v>
      </c>
      <c r="B321" s="16" t="s">
        <v>16</v>
      </c>
      <c r="C321" s="91">
        <f>B294</f>
        <v>496</v>
      </c>
      <c r="D321" s="17">
        <f>E320</f>
        <v>0.33800000000000002</v>
      </c>
      <c r="E321" s="17">
        <f>IFERROR(C321*D321,0)</f>
        <v>167.64800000000002</v>
      </c>
    </row>
    <row r="322" spans="1:10" ht="13.5" customHeight="1" thickBot="1" x14ac:dyDescent="0.25">
      <c r="F322" s="20">
        <f>E321</f>
        <v>167.64800000000002</v>
      </c>
    </row>
    <row r="323" spans="1:10" ht="13.5" customHeight="1" x14ac:dyDescent="0.2">
      <c r="F323" s="196"/>
    </row>
    <row r="324" spans="1:10" ht="13.5" customHeight="1" x14ac:dyDescent="0.2">
      <c r="F324" s="196"/>
    </row>
    <row r="325" spans="1:10" ht="13.5" customHeight="1" x14ac:dyDescent="0.2">
      <c r="A325" s="6" t="s">
        <v>291</v>
      </c>
      <c r="I325" s="84"/>
      <c r="J325" s="84"/>
    </row>
    <row r="326" spans="1:10" ht="13.5" customHeight="1" x14ac:dyDescent="0.2">
      <c r="I326" s="84"/>
      <c r="J326" s="84"/>
    </row>
    <row r="327" spans="1:10" ht="13.5" customHeight="1" thickBot="1" x14ac:dyDescent="0.25">
      <c r="A327" s="209" t="s">
        <v>292</v>
      </c>
      <c r="I327" s="84"/>
      <c r="J327" s="84"/>
    </row>
    <row r="328" spans="1:10" ht="13.5" customHeight="1" thickBot="1" x14ac:dyDescent="0.25">
      <c r="A328" s="59" t="s">
        <v>61</v>
      </c>
      <c r="B328" s="60" t="s">
        <v>62</v>
      </c>
      <c r="C328" s="60" t="s">
        <v>38</v>
      </c>
      <c r="D328" s="205" t="s">
        <v>230</v>
      </c>
      <c r="E328" s="205" t="s">
        <v>63</v>
      </c>
      <c r="F328" s="206" t="s">
        <v>64</v>
      </c>
      <c r="G328" s="8"/>
    </row>
    <row r="329" spans="1:10" ht="13.5" customHeight="1" x14ac:dyDescent="0.2">
      <c r="A329" s="198" t="s">
        <v>293</v>
      </c>
      <c r="B329" s="13" t="s">
        <v>8</v>
      </c>
      <c r="C329" s="183">
        <v>1</v>
      </c>
      <c r="D329" s="86">
        <v>6400</v>
      </c>
      <c r="E329" s="14">
        <f>C329*D329</f>
        <v>6400</v>
      </c>
      <c r="G329" s="8"/>
    </row>
    <row r="330" spans="1:10" ht="13.5" customHeight="1" x14ac:dyDescent="0.2">
      <c r="A330" s="197" t="s">
        <v>298</v>
      </c>
      <c r="B330" s="16" t="s">
        <v>98</v>
      </c>
      <c r="C330" s="85">
        <v>10</v>
      </c>
      <c r="D330" s="82"/>
      <c r="E330" s="17"/>
      <c r="G330" s="8"/>
    </row>
    <row r="331" spans="1:10" ht="13.5" customHeight="1" x14ac:dyDescent="0.2">
      <c r="A331" s="197" t="s">
        <v>299</v>
      </c>
      <c r="B331" s="16" t="s">
        <v>98</v>
      </c>
      <c r="C331" s="85">
        <v>0</v>
      </c>
      <c r="D331" s="17"/>
      <c r="E331" s="17"/>
      <c r="F331" s="19"/>
      <c r="G331" s="8"/>
    </row>
    <row r="332" spans="1:10" ht="13.5" customHeight="1" x14ac:dyDescent="0.2">
      <c r="A332" s="197" t="s">
        <v>300</v>
      </c>
      <c r="B332" s="16" t="s">
        <v>1</v>
      </c>
      <c r="C332" s="130">
        <f>IFERROR(VLOOKUP(C330,'5. Depreciação'!B5:C19,2,FALSE),0)</f>
        <v>65.180000000000007</v>
      </c>
      <c r="D332" s="17">
        <f>E329</f>
        <v>6400</v>
      </c>
      <c r="E332" s="17">
        <f>C332*D332/100</f>
        <v>4171.5200000000004</v>
      </c>
      <c r="G332" s="8"/>
    </row>
    <row r="333" spans="1:10" ht="13.5" customHeight="1" thickBot="1" x14ac:dyDescent="0.25">
      <c r="A333" s="186" t="s">
        <v>301</v>
      </c>
      <c r="B333" s="187" t="s">
        <v>6</v>
      </c>
      <c r="C333" s="187">
        <f>C330*12</f>
        <v>120</v>
      </c>
      <c r="D333" s="214">
        <f>IF(C331&lt;=C330,E332,0)</f>
        <v>4171.5200000000004</v>
      </c>
      <c r="E333" s="214">
        <f>IFERROR(D333/C333,0)</f>
        <v>34.762666666666668</v>
      </c>
      <c r="G333" s="8"/>
    </row>
    <row r="334" spans="1:10" ht="13.5" customHeight="1" thickTop="1" x14ac:dyDescent="0.2">
      <c r="A334" s="111" t="s">
        <v>302</v>
      </c>
      <c r="B334" s="112"/>
      <c r="C334" s="112"/>
      <c r="D334" s="211"/>
      <c r="E334" s="212">
        <f>E333</f>
        <v>34.762666666666668</v>
      </c>
      <c r="G334" s="8"/>
    </row>
    <row r="335" spans="1:10" ht="13.5" customHeight="1" thickBot="1" x14ac:dyDescent="0.25">
      <c r="A335" s="100" t="s">
        <v>303</v>
      </c>
      <c r="B335" s="101" t="s">
        <v>8</v>
      </c>
      <c r="C335" s="85">
        <v>150</v>
      </c>
      <c r="D335" s="208">
        <f>E334</f>
        <v>34.762666666666668</v>
      </c>
      <c r="E335" s="212">
        <f>C335*D335</f>
        <v>5214.4000000000005</v>
      </c>
      <c r="G335" s="8"/>
    </row>
    <row r="336" spans="1:10" ht="13.5" customHeight="1" thickBot="1" x14ac:dyDescent="0.25">
      <c r="A336" s="182"/>
      <c r="B336" s="182"/>
      <c r="C336" s="182"/>
      <c r="D336" s="117" t="s">
        <v>194</v>
      </c>
      <c r="E336" s="49">
        <v>1</v>
      </c>
      <c r="F336" s="202">
        <f>E335*E336</f>
        <v>5214.4000000000005</v>
      </c>
      <c r="G336" s="8"/>
    </row>
    <row r="337" spans="1:7" ht="13.5" customHeight="1" x14ac:dyDescent="0.2">
      <c r="G337" s="8"/>
    </row>
    <row r="338" spans="1:7" ht="13.5" customHeight="1" thickBot="1" x14ac:dyDescent="0.25">
      <c r="A338" s="209" t="s">
        <v>304</v>
      </c>
    </row>
    <row r="339" spans="1:7" ht="13.5" customHeight="1" thickBot="1" x14ac:dyDescent="0.25">
      <c r="A339" s="59" t="s">
        <v>61</v>
      </c>
      <c r="B339" s="60" t="s">
        <v>62</v>
      </c>
      <c r="C339" s="60" t="s">
        <v>38</v>
      </c>
      <c r="D339" s="205" t="s">
        <v>230</v>
      </c>
      <c r="E339" s="205" t="s">
        <v>63</v>
      </c>
      <c r="F339" s="206" t="s">
        <v>64</v>
      </c>
    </row>
    <row r="340" spans="1:7" ht="13.5" customHeight="1" x14ac:dyDescent="0.2">
      <c r="A340" s="12" t="s">
        <v>107</v>
      </c>
      <c r="B340" s="13" t="s">
        <v>8</v>
      </c>
      <c r="C340" s="183">
        <v>1</v>
      </c>
      <c r="D340" s="14">
        <f>D329</f>
        <v>6400</v>
      </c>
      <c r="E340" s="14">
        <f>C340*D340</f>
        <v>6400</v>
      </c>
      <c r="F340" s="19"/>
    </row>
    <row r="341" spans="1:7" ht="13.5" customHeight="1" x14ac:dyDescent="0.2">
      <c r="A341" s="15" t="s">
        <v>209</v>
      </c>
      <c r="B341" s="16" t="s">
        <v>1</v>
      </c>
      <c r="C341" s="85">
        <v>6.5</v>
      </c>
      <c r="D341" s="17"/>
      <c r="E341" s="17"/>
      <c r="F341" s="19"/>
    </row>
    <row r="342" spans="1:7" ht="13.5" customHeight="1" x14ac:dyDescent="0.2">
      <c r="A342" s="15" t="s">
        <v>207</v>
      </c>
      <c r="B342" s="16" t="s">
        <v>33</v>
      </c>
      <c r="C342" s="136">
        <f>IFERROR(IF(C331&lt;=C330,E329-(C332/(100*C330)*C331)*E329,E329-E332),0)</f>
        <v>6400</v>
      </c>
      <c r="D342" s="17"/>
      <c r="E342" s="17"/>
      <c r="F342" s="19"/>
    </row>
    <row r="343" spans="1:7" ht="13.5" customHeight="1" x14ac:dyDescent="0.2">
      <c r="A343" s="15" t="s">
        <v>112</v>
      </c>
      <c r="B343" s="16" t="s">
        <v>33</v>
      </c>
      <c r="C343" s="82">
        <f>IFERROR(IF(C331&gt;=C330,C342,((((C342)-(E329-E332))*(((C330-C331)+1)/(2*(C330-C331))))+(E329-E332))),0)</f>
        <v>4522.8159999999998</v>
      </c>
      <c r="D343" s="17"/>
      <c r="E343" s="17"/>
      <c r="F343" s="19"/>
    </row>
    <row r="344" spans="1:7" ht="13.5" customHeight="1" x14ac:dyDescent="0.2">
      <c r="A344" s="100" t="s">
        <v>301</v>
      </c>
      <c r="B344" s="101" t="s">
        <v>33</v>
      </c>
      <c r="C344" s="101"/>
      <c r="D344" s="210">
        <f>C341*C343/12/100</f>
        <v>24.498586666666665</v>
      </c>
      <c r="E344" s="208">
        <f>D344</f>
        <v>24.498586666666665</v>
      </c>
      <c r="F344" s="19"/>
    </row>
    <row r="345" spans="1:7" ht="13.5" customHeight="1" x14ac:dyDescent="0.2">
      <c r="A345" s="100" t="s">
        <v>302</v>
      </c>
      <c r="B345" s="101"/>
      <c r="C345" s="101"/>
      <c r="D345" s="208"/>
      <c r="E345" s="208">
        <f>E344</f>
        <v>24.498586666666665</v>
      </c>
      <c r="F345" s="19"/>
    </row>
    <row r="346" spans="1:7" ht="13.5" customHeight="1" thickBot="1" x14ac:dyDescent="0.25">
      <c r="A346" s="100" t="s">
        <v>303</v>
      </c>
      <c r="B346" s="101" t="s">
        <v>8</v>
      </c>
      <c r="C346" s="184">
        <f>C335</f>
        <v>150</v>
      </c>
      <c r="D346" s="208">
        <f>E345</f>
        <v>24.498586666666665</v>
      </c>
      <c r="E346" s="208">
        <f>C346*D346</f>
        <v>3674.7879999999996</v>
      </c>
      <c r="F346" s="19"/>
    </row>
    <row r="347" spans="1:7" ht="13.5" customHeight="1" thickBot="1" x14ac:dyDescent="0.25">
      <c r="C347" s="18"/>
      <c r="D347" s="117" t="s">
        <v>194</v>
      </c>
      <c r="E347" s="49">
        <v>1</v>
      </c>
      <c r="F347" s="202">
        <f>E346*E347</f>
        <v>3674.7879999999996</v>
      </c>
    </row>
    <row r="348" spans="1:7" ht="13.5" customHeight="1" x14ac:dyDescent="0.2"/>
    <row r="349" spans="1:7" ht="13.5" customHeight="1" thickBot="1" x14ac:dyDescent="0.25">
      <c r="A349" s="6" t="s">
        <v>307</v>
      </c>
    </row>
    <row r="350" spans="1:7" ht="13.5" customHeight="1" thickBot="1" x14ac:dyDescent="0.25">
      <c r="A350" s="59" t="s">
        <v>61</v>
      </c>
      <c r="B350" s="60" t="s">
        <v>62</v>
      </c>
      <c r="C350" s="60" t="s">
        <v>38</v>
      </c>
      <c r="D350" s="205" t="s">
        <v>230</v>
      </c>
      <c r="E350" s="205" t="s">
        <v>63</v>
      </c>
      <c r="F350" s="206" t="s">
        <v>64</v>
      </c>
    </row>
    <row r="351" spans="1:7" ht="13.5" customHeight="1" thickBot="1" x14ac:dyDescent="0.25">
      <c r="A351" s="198" t="s">
        <v>305</v>
      </c>
      <c r="B351" s="221" t="s">
        <v>8</v>
      </c>
      <c r="C351" s="91">
        <f>C335</f>
        <v>150</v>
      </c>
      <c r="D351" s="86">
        <v>20</v>
      </c>
      <c r="E351" s="14">
        <f>C351*D351</f>
        <v>3000</v>
      </c>
    </row>
    <row r="352" spans="1:7" ht="13.5" customHeight="1" thickBot="1" x14ac:dyDescent="0.25">
      <c r="F352" s="202">
        <f>E351</f>
        <v>3000</v>
      </c>
    </row>
    <row r="353" spans="1:7" ht="13.5" customHeight="1" thickBot="1" x14ac:dyDescent="0.25"/>
    <row r="354" spans="1:7" ht="13.5" customHeight="1" thickBot="1" x14ac:dyDescent="0.25">
      <c r="A354" s="23" t="s">
        <v>221</v>
      </c>
      <c r="B354" s="24"/>
      <c r="C354" s="24"/>
      <c r="D354" s="25"/>
      <c r="E354" s="26"/>
      <c r="F354" s="20">
        <f>+SUM(F182:F353)</f>
        <v>37131.111814530552</v>
      </c>
    </row>
    <row r="355" spans="1:7" ht="13.5" customHeight="1" x14ac:dyDescent="0.2">
      <c r="A355" s="33"/>
      <c r="B355" s="33"/>
      <c r="C355" s="33"/>
      <c r="D355" s="203"/>
      <c r="E355" s="203"/>
      <c r="F355" s="196"/>
    </row>
    <row r="356" spans="1:7" ht="13.5" customHeight="1" x14ac:dyDescent="0.2"/>
    <row r="357" spans="1:7" ht="13.5" customHeight="1" x14ac:dyDescent="0.2">
      <c r="A357" s="33" t="s">
        <v>73</v>
      </c>
      <c r="B357" s="33"/>
      <c r="C357" s="33"/>
      <c r="D357" s="34"/>
      <c r="E357" s="34"/>
      <c r="F357" s="32"/>
    </row>
    <row r="358" spans="1:7" ht="13.5" customHeight="1" thickBot="1" x14ac:dyDescent="0.25">
      <c r="G358" s="8"/>
    </row>
    <row r="359" spans="1:7" ht="13.5" customHeight="1" thickBot="1" x14ac:dyDescent="0.25">
      <c r="A359" s="59" t="s">
        <v>61</v>
      </c>
      <c r="B359" s="60" t="s">
        <v>62</v>
      </c>
      <c r="C359" s="60" t="s">
        <v>38</v>
      </c>
      <c r="D359" s="61" t="s">
        <v>230</v>
      </c>
      <c r="E359" s="61" t="s">
        <v>63</v>
      </c>
      <c r="F359" s="62" t="s">
        <v>64</v>
      </c>
    </row>
    <row r="360" spans="1:7" ht="13.5" customHeight="1" x14ac:dyDescent="0.2">
      <c r="A360" s="15" t="s">
        <v>70</v>
      </c>
      <c r="B360" s="16" t="s">
        <v>8</v>
      </c>
      <c r="C360" s="98">
        <v>0.33333333333333331</v>
      </c>
      <c r="D360" s="86">
        <v>33.6</v>
      </c>
      <c r="E360" s="17">
        <f>C360*D360</f>
        <v>11.2</v>
      </c>
      <c r="F360" s="54"/>
    </row>
    <row r="361" spans="1:7" ht="13.5" customHeight="1" x14ac:dyDescent="0.2">
      <c r="A361" s="15" t="s">
        <v>26</v>
      </c>
      <c r="B361" s="16" t="s">
        <v>8</v>
      </c>
      <c r="C361" s="98">
        <v>0.25</v>
      </c>
      <c r="D361" s="86">
        <v>20.7</v>
      </c>
      <c r="E361" s="17">
        <f>C361*D361</f>
        <v>5.1749999999999998</v>
      </c>
      <c r="F361" s="54"/>
    </row>
    <row r="362" spans="1:7" ht="13.5" customHeight="1" x14ac:dyDescent="0.2">
      <c r="A362" s="15" t="s">
        <v>27</v>
      </c>
      <c r="B362" s="16" t="s">
        <v>8</v>
      </c>
      <c r="C362" s="98">
        <v>0.5</v>
      </c>
      <c r="D362" s="86">
        <v>15</v>
      </c>
      <c r="E362" s="17">
        <f>C362*D362</f>
        <v>7.5</v>
      </c>
      <c r="F362" s="54"/>
    </row>
    <row r="363" spans="1:7" ht="13.5" customHeight="1" x14ac:dyDescent="0.2">
      <c r="A363" s="15" t="s">
        <v>54</v>
      </c>
      <c r="B363" s="16" t="s">
        <v>55</v>
      </c>
      <c r="C363" s="98">
        <v>8.3333333333333329E-2</v>
      </c>
      <c r="D363" s="86">
        <v>205</v>
      </c>
      <c r="E363" s="17">
        <f>C363*D363</f>
        <v>17.083333333333332</v>
      </c>
      <c r="F363" s="54"/>
    </row>
    <row r="364" spans="1:7" ht="13.5" customHeight="1" thickBot="1" x14ac:dyDescent="0.25">
      <c r="A364" s="15" t="s">
        <v>57</v>
      </c>
      <c r="B364" s="16" t="s">
        <v>55</v>
      </c>
      <c r="C364" s="98">
        <v>8.3333333333333329E-2</v>
      </c>
      <c r="D364" s="86">
        <v>206.7</v>
      </c>
      <c r="E364" s="17">
        <f>C364*D364</f>
        <v>17.224999999999998</v>
      </c>
      <c r="F364" s="54"/>
    </row>
    <row r="365" spans="1:7" ht="13.5" customHeight="1" thickBot="1" x14ac:dyDescent="0.25">
      <c r="A365" s="33"/>
      <c r="B365" s="33"/>
      <c r="C365" s="33"/>
      <c r="D365" s="33"/>
      <c r="E365" s="34"/>
      <c r="F365" s="20">
        <f>SUM(E360:E364)</f>
        <v>58.183333333333323</v>
      </c>
    </row>
    <row r="366" spans="1:7" ht="13.5" customHeight="1" thickBot="1" x14ac:dyDescent="0.25"/>
    <row r="367" spans="1:7" ht="13.5" customHeight="1" thickBot="1" x14ac:dyDescent="0.25">
      <c r="A367" s="23" t="s">
        <v>222</v>
      </c>
      <c r="B367" s="24"/>
      <c r="C367" s="24"/>
      <c r="D367" s="25"/>
      <c r="E367" s="26"/>
      <c r="F367" s="20">
        <f>+F365</f>
        <v>58.183333333333323</v>
      </c>
    </row>
    <row r="368" spans="1:7" ht="13.5" customHeight="1" x14ac:dyDescent="0.2">
      <c r="A368" s="33"/>
      <c r="B368" s="33"/>
      <c r="C368" s="33"/>
      <c r="D368" s="203"/>
      <c r="E368" s="203"/>
      <c r="F368" s="196"/>
    </row>
    <row r="369" spans="1:6" ht="13.5" customHeight="1" x14ac:dyDescent="0.2"/>
    <row r="370" spans="1:6" ht="13.5" customHeight="1" x14ac:dyDescent="0.2">
      <c r="A370" s="33" t="s">
        <v>74</v>
      </c>
      <c r="B370" s="33"/>
      <c r="C370" s="33"/>
      <c r="D370" s="34"/>
      <c r="E370" s="34"/>
      <c r="F370" s="32"/>
    </row>
    <row r="371" spans="1:6" ht="13.5" customHeight="1" x14ac:dyDescent="0.2">
      <c r="A371" s="33"/>
      <c r="B371" s="33"/>
      <c r="C371" s="33"/>
      <c r="D371" s="203"/>
      <c r="E371" s="203"/>
      <c r="F371" s="32"/>
    </row>
    <row r="372" spans="1:6" ht="13.5" customHeight="1" thickBot="1" x14ac:dyDescent="0.25">
      <c r="A372" s="6" t="s">
        <v>342</v>
      </c>
    </row>
    <row r="373" spans="1:6" ht="13.5" customHeight="1" thickBot="1" x14ac:dyDescent="0.25">
      <c r="A373" s="59" t="s">
        <v>61</v>
      </c>
      <c r="B373" s="60" t="s">
        <v>62</v>
      </c>
      <c r="C373" s="60" t="s">
        <v>38</v>
      </c>
      <c r="D373" s="61" t="s">
        <v>230</v>
      </c>
      <c r="E373" s="61" t="s">
        <v>63</v>
      </c>
      <c r="F373" s="62" t="s">
        <v>64</v>
      </c>
    </row>
    <row r="374" spans="1:6" ht="13.5" customHeight="1" x14ac:dyDescent="0.2">
      <c r="A374" s="15" t="s">
        <v>219</v>
      </c>
      <c r="B374" s="52" t="s">
        <v>55</v>
      </c>
      <c r="C374" s="68">
        <f>C182</f>
        <v>1</v>
      </c>
      <c r="D374" s="87">
        <v>514.5</v>
      </c>
      <c r="E374" s="17">
        <f>+D374*C374</f>
        <v>514.5</v>
      </c>
      <c r="F374" s="54"/>
    </row>
    <row r="375" spans="1:6" ht="13.5" customHeight="1" x14ac:dyDescent="0.2">
      <c r="A375" s="15" t="s">
        <v>58</v>
      </c>
      <c r="B375" s="52" t="s">
        <v>6</v>
      </c>
      <c r="C375" s="140">
        <v>60</v>
      </c>
      <c r="D375" s="228">
        <f>SUM(E374:E374)</f>
        <v>514.5</v>
      </c>
      <c r="E375" s="79">
        <f>+D375/C375</f>
        <v>8.5749999999999993</v>
      </c>
      <c r="F375" s="54"/>
    </row>
    <row r="376" spans="1:6" ht="13.5" customHeight="1" x14ac:dyDescent="0.2">
      <c r="A376" s="15" t="s">
        <v>220</v>
      </c>
      <c r="B376" s="16" t="s">
        <v>8</v>
      </c>
      <c r="C376" s="68">
        <f>+C374</f>
        <v>1</v>
      </c>
      <c r="D376" s="87">
        <v>72</v>
      </c>
      <c r="E376" s="17">
        <f>C376*D376</f>
        <v>72</v>
      </c>
      <c r="F376" s="54"/>
    </row>
    <row r="377" spans="1:6" ht="13.5" customHeight="1" thickBot="1" x14ac:dyDescent="0.25">
      <c r="A377" s="15" t="s">
        <v>35</v>
      </c>
      <c r="B377" s="52" t="s">
        <v>6</v>
      </c>
      <c r="C377" s="140">
        <v>1</v>
      </c>
      <c r="D377" s="228">
        <f>+E376</f>
        <v>72</v>
      </c>
      <c r="E377" s="79">
        <f>+D377/C377</f>
        <v>72</v>
      </c>
      <c r="F377" s="54"/>
    </row>
    <row r="378" spans="1:6" ht="13.5" customHeight="1" thickBot="1" x14ac:dyDescent="0.25">
      <c r="A378" s="80"/>
      <c r="B378" s="80"/>
      <c r="C378" s="80"/>
      <c r="D378" s="117" t="s">
        <v>194</v>
      </c>
      <c r="E378" s="49">
        <v>0.73</v>
      </c>
      <c r="F378" s="81">
        <f>(E375+E377)*E378</f>
        <v>58.819749999999999</v>
      </c>
    </row>
    <row r="379" spans="1:6" ht="13.5" customHeight="1" x14ac:dyDescent="0.2">
      <c r="A379" s="80"/>
      <c r="B379" s="80"/>
      <c r="C379" s="80"/>
      <c r="D379" s="117"/>
      <c r="E379" s="58"/>
      <c r="F379" s="222"/>
    </row>
    <row r="380" spans="1:6" ht="13.5" customHeight="1" thickBot="1" x14ac:dyDescent="0.25">
      <c r="A380" s="6" t="s">
        <v>343</v>
      </c>
      <c r="B380" s="80"/>
      <c r="C380" s="80"/>
      <c r="D380" s="117"/>
      <c r="E380" s="58"/>
      <c r="F380" s="222"/>
    </row>
    <row r="381" spans="1:6" ht="13.5" customHeight="1" thickBot="1" x14ac:dyDescent="0.25">
      <c r="A381" s="59" t="s">
        <v>61</v>
      </c>
      <c r="B381" s="60" t="s">
        <v>62</v>
      </c>
      <c r="C381" s="60" t="s">
        <v>38</v>
      </c>
      <c r="D381" s="205" t="s">
        <v>230</v>
      </c>
      <c r="E381" s="205" t="s">
        <v>63</v>
      </c>
      <c r="F381" s="206" t="s">
        <v>64</v>
      </c>
    </row>
    <row r="382" spans="1:6" ht="13.5" customHeight="1" x14ac:dyDescent="0.2">
      <c r="A382" s="15" t="s">
        <v>219</v>
      </c>
      <c r="B382" s="52" t="s">
        <v>55</v>
      </c>
      <c r="C382" s="68">
        <f>C267</f>
        <v>1</v>
      </c>
      <c r="D382" s="87">
        <v>514.5</v>
      </c>
      <c r="E382" s="17">
        <f>+D382*C382</f>
        <v>514.5</v>
      </c>
      <c r="F382" s="54"/>
    </row>
    <row r="383" spans="1:6" ht="13.5" customHeight="1" x14ac:dyDescent="0.2">
      <c r="A383" s="15" t="s">
        <v>58</v>
      </c>
      <c r="B383" s="52" t="s">
        <v>6</v>
      </c>
      <c r="C383" s="140">
        <v>60</v>
      </c>
      <c r="D383" s="228">
        <f>SUM(E382:E382)</f>
        <v>514.5</v>
      </c>
      <c r="E383" s="79">
        <f>+D383/C383</f>
        <v>8.5749999999999993</v>
      </c>
      <c r="F383" s="54"/>
    </row>
    <row r="384" spans="1:6" ht="13.5" customHeight="1" x14ac:dyDescent="0.2">
      <c r="A384" s="15" t="s">
        <v>220</v>
      </c>
      <c r="B384" s="16" t="s">
        <v>8</v>
      </c>
      <c r="C384" s="68">
        <f>+C382</f>
        <v>1</v>
      </c>
      <c r="D384" s="229">
        <v>72</v>
      </c>
      <c r="E384" s="17">
        <f>C384*D384</f>
        <v>72</v>
      </c>
      <c r="F384" s="54"/>
    </row>
    <row r="385" spans="1:6" ht="13.5" customHeight="1" thickBot="1" x14ac:dyDescent="0.25">
      <c r="A385" s="15" t="s">
        <v>35</v>
      </c>
      <c r="B385" s="52" t="s">
        <v>6</v>
      </c>
      <c r="C385" s="140">
        <v>1</v>
      </c>
      <c r="D385" s="228">
        <f>+E384</f>
        <v>72</v>
      </c>
      <c r="E385" s="79">
        <f>+D385/C385</f>
        <v>72</v>
      </c>
      <c r="F385" s="54"/>
    </row>
    <row r="386" spans="1:6" ht="13.5" customHeight="1" thickBot="1" x14ac:dyDescent="0.25">
      <c r="A386" s="80"/>
      <c r="B386" s="80"/>
      <c r="C386" s="80"/>
      <c r="D386" s="117" t="s">
        <v>194</v>
      </c>
      <c r="E386" s="49">
        <v>0.25</v>
      </c>
      <c r="F386" s="81">
        <f>(E383+E385)*E386</f>
        <v>20.143750000000001</v>
      </c>
    </row>
    <row r="387" spans="1:6" ht="13.5" customHeight="1" thickBot="1" x14ac:dyDescent="0.25">
      <c r="A387" s="80"/>
      <c r="B387" s="80"/>
      <c r="C387" s="80"/>
      <c r="D387" s="117"/>
      <c r="E387" s="58"/>
      <c r="F387" s="222"/>
    </row>
    <row r="388" spans="1:6" ht="13.5" customHeight="1" thickBot="1" x14ac:dyDescent="0.25">
      <c r="A388" s="23" t="s">
        <v>218</v>
      </c>
      <c r="B388" s="24"/>
      <c r="C388" s="24"/>
      <c r="D388" s="25"/>
      <c r="E388" s="26"/>
      <c r="F388" s="202">
        <f>+F378+F386</f>
        <v>78.963499999999996</v>
      </c>
    </row>
    <row r="389" spans="1:6" ht="13.5" customHeight="1" x14ac:dyDescent="0.2">
      <c r="A389" s="33"/>
      <c r="B389" s="33"/>
      <c r="C389" s="33"/>
      <c r="D389" s="203"/>
      <c r="E389" s="203"/>
      <c r="F389" s="196"/>
    </row>
    <row r="390" spans="1:6" ht="13.5" customHeight="1" thickBot="1" x14ac:dyDescent="0.25"/>
    <row r="391" spans="1:6" ht="15.75" customHeight="1" thickBot="1" x14ac:dyDescent="0.25">
      <c r="A391" s="23" t="s">
        <v>223</v>
      </c>
      <c r="B391" s="27"/>
      <c r="C391" s="27"/>
      <c r="D391" s="28"/>
      <c r="E391" s="29"/>
      <c r="F391" s="21">
        <f>+F127+F173+F354+F367+F388</f>
        <v>46072.545630741668</v>
      </c>
    </row>
    <row r="392" spans="1:6" ht="13.5" customHeight="1" x14ac:dyDescent="0.2">
      <c r="A392" s="33"/>
      <c r="B392" s="53"/>
      <c r="C392" s="53"/>
      <c r="D392" s="58"/>
      <c r="E392" s="58"/>
      <c r="F392" s="199"/>
    </row>
    <row r="393" spans="1:6" ht="13.5" customHeight="1" x14ac:dyDescent="0.2"/>
    <row r="394" spans="1:6" ht="13.5" customHeight="1" x14ac:dyDescent="0.2">
      <c r="A394" s="10" t="s">
        <v>89</v>
      </c>
    </row>
    <row r="395" spans="1:6" ht="13.5" customHeight="1" thickBot="1" x14ac:dyDescent="0.25"/>
    <row r="396" spans="1:6" ht="13.5" customHeight="1" thickBot="1" x14ac:dyDescent="0.25">
      <c r="A396" s="59" t="s">
        <v>61</v>
      </c>
      <c r="B396" s="60" t="s">
        <v>62</v>
      </c>
      <c r="C396" s="60" t="s">
        <v>38</v>
      </c>
      <c r="D396" s="61" t="s">
        <v>230</v>
      </c>
      <c r="E396" s="61" t="s">
        <v>63</v>
      </c>
      <c r="F396" s="62" t="s">
        <v>64</v>
      </c>
    </row>
    <row r="397" spans="1:6" ht="13.5" customHeight="1" thickBot="1" x14ac:dyDescent="0.25">
      <c r="A397" s="12" t="s">
        <v>34</v>
      </c>
      <c r="B397" s="13" t="s">
        <v>1</v>
      </c>
      <c r="C397" s="130">
        <f>'4.BDI'!C14*100</f>
        <v>26.669999999999998</v>
      </c>
      <c r="D397" s="14">
        <f>+F391</f>
        <v>46072.545630741668</v>
      </c>
      <c r="E397" s="14">
        <f>C397*D397/100</f>
        <v>12287.547919718803</v>
      </c>
    </row>
    <row r="398" spans="1:6" ht="13.5" customHeight="1" thickBot="1" x14ac:dyDescent="0.25">
      <c r="F398" s="20">
        <f>+E397</f>
        <v>12287.547919718803</v>
      </c>
    </row>
    <row r="399" spans="1:6" ht="13.5" customHeight="1" thickBot="1" x14ac:dyDescent="0.25"/>
    <row r="400" spans="1:6" ht="15.75" customHeight="1" thickBot="1" x14ac:dyDescent="0.25">
      <c r="A400" s="23" t="s">
        <v>235</v>
      </c>
      <c r="B400" s="27"/>
      <c r="C400" s="27"/>
      <c r="D400" s="28"/>
      <c r="E400" s="29"/>
      <c r="F400" s="21">
        <f>F398</f>
        <v>12287.547919718803</v>
      </c>
    </row>
    <row r="401" spans="1:6" ht="13.5" customHeight="1" x14ac:dyDescent="0.2">
      <c r="A401" s="33"/>
      <c r="B401" s="33"/>
      <c r="C401" s="33"/>
      <c r="D401" s="34"/>
      <c r="E401" s="34"/>
      <c r="F401" s="32"/>
    </row>
    <row r="402" spans="1:6" ht="13.5" customHeight="1" thickBot="1" x14ac:dyDescent="0.25"/>
    <row r="403" spans="1:6" ht="15.75" customHeight="1" thickBot="1" x14ac:dyDescent="0.25">
      <c r="A403" s="23" t="s">
        <v>224</v>
      </c>
      <c r="B403" s="27"/>
      <c r="C403" s="27"/>
      <c r="D403" s="28"/>
      <c r="E403" s="29"/>
      <c r="F403" s="21">
        <f>F391+F400</f>
        <v>58360.093550460471</v>
      </c>
    </row>
    <row r="404" spans="1:6" ht="13.5" customHeight="1" x14ac:dyDescent="0.2">
      <c r="A404" s="55"/>
      <c r="B404" s="55"/>
      <c r="C404" s="55"/>
      <c r="D404" s="56"/>
      <c r="E404" s="56"/>
      <c r="F404" s="56"/>
    </row>
    <row r="405" spans="1:6" ht="13.5" customHeight="1" x14ac:dyDescent="0.2">
      <c r="A405" s="163" t="s">
        <v>217</v>
      </c>
      <c r="B405" s="164"/>
      <c r="C405" s="164"/>
      <c r="D405" s="165">
        <v>150</v>
      </c>
      <c r="E405" s="231" t="s">
        <v>320</v>
      </c>
    </row>
    <row r="406" spans="1:6" ht="13.5" customHeight="1" thickBot="1" x14ac:dyDescent="0.25"/>
    <row r="407" spans="1:6" ht="15.75" customHeight="1" thickBot="1" x14ac:dyDescent="0.25">
      <c r="A407" s="23" t="s">
        <v>321</v>
      </c>
      <c r="B407" s="24"/>
      <c r="C407" s="24"/>
      <c r="D407" s="25"/>
      <c r="E407" s="167" t="s">
        <v>322</v>
      </c>
      <c r="F407" s="168">
        <f>IFERROR(F403/D405,"-")</f>
        <v>389.06729033640312</v>
      </c>
    </row>
    <row r="408" spans="1:6" ht="13.5" customHeight="1" x14ac:dyDescent="0.2">
      <c r="A408" s="38"/>
      <c r="B408" s="9"/>
      <c r="C408" s="9"/>
    </row>
    <row r="409" spans="1:6" ht="13.5" customHeight="1" x14ac:dyDescent="0.2">
      <c r="A409" s="38"/>
      <c r="B409" s="9"/>
      <c r="C409" s="9"/>
    </row>
    <row r="410" spans="1:6" ht="13.5" customHeight="1" x14ac:dyDescent="0.2">
      <c r="A410" s="38"/>
      <c r="B410" s="9"/>
      <c r="C410" s="9"/>
    </row>
    <row r="440" spans="4:6" x14ac:dyDescent="0.2">
      <c r="D440" s="8"/>
      <c r="E440" s="8"/>
      <c r="F440" s="8"/>
    </row>
  </sheetData>
  <mergeCells count="6">
    <mergeCell ref="A54:D54"/>
    <mergeCell ref="A49:D49"/>
    <mergeCell ref="A13:C13"/>
    <mergeCell ref="A43:D43"/>
    <mergeCell ref="A3:F3"/>
    <mergeCell ref="A41:E41"/>
  </mergeCells>
  <phoneticPr fontId="9" type="noConversion"/>
  <hyperlinks>
    <hyperlink ref="A196" location="AbaRemun" display="3.1.2. Remuneração do Capital"/>
    <hyperlink ref="A180" location="AbaDeprec" display="3.1.1. Depreciação"/>
    <hyperlink ref="A269" location="AbaRemun" display="3.1.2. Remuneração do Capital"/>
    <hyperlink ref="A254" location="AbaDeprec" display="3.1.1. Depreciação"/>
    <hyperlink ref="A338" location="AbaRemun" display="3.1.2. Remuneração do Capital"/>
    <hyperlink ref="A327" location="AbaDeprec" display="3.1.1. Depreciação"/>
  </hyperlinks>
  <printOptions horizontalCentered="1"/>
  <pageMargins left="0.74803149606299213" right="0.74803149606299213" top="0.78740157480314965" bottom="0.78740157480314965" header="0.31496062992125984" footer="0.31496062992125984"/>
  <pageSetup paperSize="9" scale="75" fitToHeight="0" orientation="portrait" r:id="rId1"/>
  <headerFooter alignWithMargins="0">
    <oddFooter>&amp;R&amp;P de &amp;N</oddFooter>
  </headerFooter>
  <rowBreaks count="4" manualBreakCount="4">
    <brk id="61" max="5" man="1"/>
    <brk id="129" max="5" man="1"/>
    <brk id="195" max="5" man="1"/>
    <brk id="337" max="5" man="1"/>
  </rowBreaks>
  <ignoredErrors>
    <ignoredError sqref="E13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22" zoomScaleNormal="100" workbookViewId="0">
      <selection activeCell="C23" sqref="C23"/>
    </sheetView>
  </sheetViews>
  <sheetFormatPr defaultRowHeight="12.75" x14ac:dyDescent="0.2"/>
  <cols>
    <col min="1" max="1" width="11.7109375" style="355" customWidth="1"/>
    <col min="2" max="2" width="39.42578125" style="1" customWidth="1"/>
    <col min="3" max="3" width="14.5703125" style="355" customWidth="1"/>
    <col min="4" max="4" width="37.28515625" style="142" customWidth="1"/>
    <col min="5" max="10" width="9.140625" style="1"/>
    <col min="11" max="11" width="11" style="1" bestFit="1" customWidth="1"/>
    <col min="12" max="16384" width="9.140625" style="1"/>
  </cols>
  <sheetData>
    <row r="1" spans="1:12" ht="18" x14ac:dyDescent="0.2">
      <c r="A1" s="411" t="s">
        <v>227</v>
      </c>
      <c r="B1" s="411"/>
      <c r="C1" s="411"/>
      <c r="D1" s="137"/>
      <c r="E1" s="137"/>
      <c r="F1" s="137"/>
    </row>
    <row r="2" spans="1:12" s="142" customFormat="1" ht="13.5" customHeight="1" x14ac:dyDescent="0.2">
      <c r="A2" s="235"/>
      <c r="B2" s="235"/>
      <c r="C2" s="235"/>
      <c r="D2" s="344"/>
      <c r="E2" s="344"/>
      <c r="F2" s="344"/>
    </row>
    <row r="3" spans="1:12" s="142" customFormat="1" ht="13.5" customHeight="1" thickBot="1" x14ac:dyDescent="0.25">
      <c r="A3" s="235"/>
      <c r="B3" s="235"/>
      <c r="C3" s="235"/>
      <c r="D3" s="344"/>
      <c r="E3" s="344"/>
      <c r="F3" s="344"/>
    </row>
    <row r="4" spans="1:12" ht="13.5" customHeight="1" thickBot="1" x14ac:dyDescent="0.25">
      <c r="A4" s="366" t="s">
        <v>139</v>
      </c>
      <c r="B4" s="367" t="s">
        <v>140</v>
      </c>
      <c r="C4" s="368" t="s">
        <v>141</v>
      </c>
      <c r="D4" s="146"/>
    </row>
    <row r="5" spans="1:12" s="142" customFormat="1" ht="13.5" customHeight="1" thickBot="1" x14ac:dyDescent="0.25">
      <c r="A5" s="364"/>
      <c r="B5" s="364"/>
      <c r="C5" s="364"/>
      <c r="D5" s="146"/>
    </row>
    <row r="6" spans="1:12" ht="13.5" customHeight="1" x14ac:dyDescent="0.2">
      <c r="A6" s="348" t="s">
        <v>142</v>
      </c>
      <c r="B6" s="345" t="s">
        <v>39</v>
      </c>
      <c r="C6" s="356">
        <v>0.2</v>
      </c>
      <c r="D6" s="146"/>
      <c r="F6" s="142"/>
      <c r="G6" s="142"/>
      <c r="H6" s="142"/>
      <c r="I6" s="142"/>
      <c r="J6" s="142"/>
      <c r="K6" s="142"/>
      <c r="L6" s="142"/>
    </row>
    <row r="7" spans="1:12" ht="13.5" customHeight="1" x14ac:dyDescent="0.2">
      <c r="A7" s="143" t="s">
        <v>143</v>
      </c>
      <c r="B7" s="145" t="s">
        <v>144</v>
      </c>
      <c r="C7" s="357">
        <v>1.4999999999999999E-2</v>
      </c>
      <c r="D7" s="146"/>
      <c r="F7" s="142"/>
      <c r="G7" s="142"/>
      <c r="H7" s="142"/>
      <c r="I7" s="142"/>
      <c r="J7" s="142"/>
      <c r="K7" s="142"/>
      <c r="L7" s="142"/>
    </row>
    <row r="8" spans="1:12" ht="13.5" customHeight="1" x14ac:dyDescent="0.2">
      <c r="A8" s="143" t="s">
        <v>145</v>
      </c>
      <c r="B8" s="145" t="s">
        <v>146</v>
      </c>
      <c r="C8" s="357">
        <v>0.01</v>
      </c>
      <c r="D8" s="146"/>
      <c r="F8" s="142"/>
      <c r="G8" s="142"/>
      <c r="H8" s="142"/>
      <c r="I8" s="142"/>
      <c r="J8" s="142"/>
      <c r="K8" s="142"/>
      <c r="L8" s="142"/>
    </row>
    <row r="9" spans="1:12" ht="13.5" customHeight="1" x14ac:dyDescent="0.2">
      <c r="A9" s="143" t="s">
        <v>147</v>
      </c>
      <c r="B9" s="145" t="s">
        <v>148</v>
      </c>
      <c r="C9" s="357">
        <v>2E-3</v>
      </c>
      <c r="D9" s="146"/>
      <c r="F9" s="142"/>
      <c r="G9" s="142"/>
      <c r="H9" s="142"/>
      <c r="I9" s="142"/>
      <c r="J9" s="142"/>
      <c r="K9" s="142"/>
      <c r="L9" s="142"/>
    </row>
    <row r="10" spans="1:12" ht="13.5" customHeight="1" x14ac:dyDescent="0.2">
      <c r="A10" s="143" t="s">
        <v>149</v>
      </c>
      <c r="B10" s="145" t="s">
        <v>150</v>
      </c>
      <c r="C10" s="357">
        <v>6.0000000000000001E-3</v>
      </c>
      <c r="D10" s="146"/>
      <c r="F10" s="142"/>
      <c r="G10" s="142"/>
      <c r="H10" s="142"/>
      <c r="I10" s="142"/>
      <c r="J10" s="142"/>
      <c r="K10" s="142"/>
      <c r="L10" s="142"/>
    </row>
    <row r="11" spans="1:12" ht="13.5" customHeight="1" x14ac:dyDescent="0.2">
      <c r="A11" s="143" t="s">
        <v>151</v>
      </c>
      <c r="B11" s="145" t="s">
        <v>152</v>
      </c>
      <c r="C11" s="357">
        <v>2.5000000000000001E-2</v>
      </c>
      <c r="D11" s="146"/>
      <c r="F11" s="142"/>
      <c r="G11" s="142"/>
      <c r="H11" s="142"/>
      <c r="I11" s="142"/>
      <c r="J11" s="142"/>
      <c r="K11" s="142"/>
      <c r="L11" s="142"/>
    </row>
    <row r="12" spans="1:12" ht="13.5" customHeight="1" x14ac:dyDescent="0.2">
      <c r="A12" s="143" t="s">
        <v>153</v>
      </c>
      <c r="B12" s="145" t="s">
        <v>154</v>
      </c>
      <c r="C12" s="357">
        <v>0.03</v>
      </c>
      <c r="D12" s="146"/>
      <c r="F12" s="142"/>
      <c r="G12" s="142"/>
      <c r="H12" s="142"/>
      <c r="I12" s="142"/>
      <c r="J12" s="142"/>
      <c r="K12" s="142"/>
      <c r="L12" s="142"/>
    </row>
    <row r="13" spans="1:12" ht="13.5" customHeight="1" x14ac:dyDescent="0.2">
      <c r="A13" s="143" t="s">
        <v>155</v>
      </c>
      <c r="B13" s="145" t="s">
        <v>40</v>
      </c>
      <c r="C13" s="357">
        <v>0.08</v>
      </c>
      <c r="D13" s="147"/>
      <c r="F13" s="142"/>
      <c r="G13" s="142"/>
      <c r="H13" s="142"/>
      <c r="I13" s="142"/>
      <c r="J13" s="142"/>
      <c r="K13" s="142"/>
      <c r="L13" s="142"/>
    </row>
    <row r="14" spans="1:12" ht="13.5" customHeight="1" thickBot="1" x14ac:dyDescent="0.25">
      <c r="A14" s="144" t="s">
        <v>156</v>
      </c>
      <c r="B14" s="346" t="s">
        <v>157</v>
      </c>
      <c r="C14" s="358">
        <f>SUM(C6:C13)</f>
        <v>0.36800000000000005</v>
      </c>
      <c r="D14" s="147"/>
      <c r="F14" s="142"/>
      <c r="G14" s="142"/>
      <c r="H14" s="142"/>
      <c r="I14" s="142"/>
      <c r="J14" s="142"/>
      <c r="K14" s="142"/>
      <c r="L14" s="142"/>
    </row>
    <row r="15" spans="1:12" s="142" customFormat="1" ht="13.5" customHeight="1" thickBot="1" x14ac:dyDescent="0.25">
      <c r="A15" s="350"/>
      <c r="B15" s="159"/>
      <c r="C15" s="362"/>
      <c r="D15" s="147"/>
    </row>
    <row r="16" spans="1:12" ht="13.5" customHeight="1" x14ac:dyDescent="0.2">
      <c r="A16" s="348" t="s">
        <v>158</v>
      </c>
      <c r="B16" s="347" t="s">
        <v>159</v>
      </c>
      <c r="C16" s="356">
        <f>ROUND(IF('3.CAGED'!B34&gt;24,(1-12/'3.CAGED'!B34)*0.1111,0.1111-C25),4)</f>
        <v>5.2400000000000002E-2</v>
      </c>
      <c r="D16" s="147"/>
      <c r="F16" s="142"/>
      <c r="G16" s="142"/>
      <c r="H16" s="142"/>
      <c r="I16" s="142"/>
      <c r="J16" s="142"/>
      <c r="K16" s="142"/>
      <c r="L16" s="142"/>
    </row>
    <row r="17" spans="1:12" ht="13.5" customHeight="1" x14ac:dyDescent="0.2">
      <c r="A17" s="143" t="s">
        <v>160</v>
      </c>
      <c r="B17" s="148" t="s">
        <v>161</v>
      </c>
      <c r="C17" s="357">
        <f>ROUND('3.CAGED'!B28/'3.CAGED'!B25,4)</f>
        <v>8.3299999999999999E-2</v>
      </c>
      <c r="D17" s="147"/>
      <c r="F17" s="142"/>
      <c r="G17" s="142"/>
      <c r="H17" s="142"/>
      <c r="I17" s="142"/>
      <c r="J17" s="142"/>
      <c r="K17" s="142"/>
      <c r="L17" s="142"/>
    </row>
    <row r="18" spans="1:12" ht="13.5" customHeight="1" x14ac:dyDescent="0.2">
      <c r="A18" s="143" t="s">
        <v>215</v>
      </c>
      <c r="B18" s="148" t="s">
        <v>163</v>
      </c>
      <c r="C18" s="357">
        <v>5.9999999999999995E-4</v>
      </c>
      <c r="D18" s="147"/>
      <c r="F18" s="142"/>
      <c r="G18" s="142"/>
      <c r="H18" s="142"/>
      <c r="I18" s="142"/>
      <c r="J18" s="142"/>
      <c r="K18" s="142"/>
      <c r="L18" s="142"/>
    </row>
    <row r="19" spans="1:12" ht="13.5" customHeight="1" x14ac:dyDescent="0.2">
      <c r="A19" s="143" t="s">
        <v>162</v>
      </c>
      <c r="B19" s="148" t="s">
        <v>165</v>
      </c>
      <c r="C19" s="357">
        <v>8.2000000000000007E-3</v>
      </c>
      <c r="D19" s="147"/>
      <c r="F19" s="142"/>
      <c r="G19" s="142"/>
      <c r="H19" s="142"/>
      <c r="I19" s="142"/>
      <c r="J19" s="142"/>
      <c r="K19" s="142"/>
      <c r="L19" s="142"/>
    </row>
    <row r="20" spans="1:12" ht="13.5" customHeight="1" x14ac:dyDescent="0.2">
      <c r="A20" s="143" t="s">
        <v>164</v>
      </c>
      <c r="B20" s="148" t="s">
        <v>167</v>
      </c>
      <c r="C20" s="357">
        <v>3.0999999999999999E-3</v>
      </c>
      <c r="D20" s="147"/>
      <c r="F20" s="142"/>
      <c r="G20" s="142"/>
      <c r="H20" s="142"/>
      <c r="I20" s="142"/>
      <c r="J20" s="142"/>
      <c r="K20" s="142"/>
      <c r="L20" s="142"/>
    </row>
    <row r="21" spans="1:12" ht="13.5" customHeight="1" x14ac:dyDescent="0.2">
      <c r="A21" s="143" t="s">
        <v>166</v>
      </c>
      <c r="B21" s="148" t="s">
        <v>168</v>
      </c>
      <c r="C21" s="357">
        <v>1.66E-2</v>
      </c>
      <c r="D21" s="147"/>
      <c r="F21" s="142"/>
      <c r="G21" s="142"/>
      <c r="H21" s="142"/>
      <c r="I21" s="142"/>
      <c r="J21" s="142"/>
      <c r="K21" s="142"/>
      <c r="L21" s="142"/>
    </row>
    <row r="22" spans="1:12" ht="13.5" customHeight="1" thickBot="1" x14ac:dyDescent="0.25">
      <c r="A22" s="144" t="s">
        <v>169</v>
      </c>
      <c r="B22" s="346" t="s">
        <v>170</v>
      </c>
      <c r="C22" s="358">
        <f>SUM(C16:C21)</f>
        <v>0.16419999999999998</v>
      </c>
      <c r="D22" s="149"/>
      <c r="F22" s="142"/>
      <c r="G22" s="142"/>
      <c r="H22" s="142"/>
      <c r="I22" s="142"/>
      <c r="J22" s="142"/>
      <c r="K22" s="142"/>
      <c r="L22" s="142"/>
    </row>
    <row r="23" spans="1:12" s="142" customFormat="1" ht="13.5" customHeight="1" thickBot="1" x14ac:dyDescent="0.25">
      <c r="A23" s="350"/>
      <c r="B23" s="159"/>
      <c r="C23" s="362"/>
      <c r="D23" s="149"/>
    </row>
    <row r="24" spans="1:12" ht="13.5" customHeight="1" x14ac:dyDescent="0.2">
      <c r="A24" s="348" t="s">
        <v>171</v>
      </c>
      <c r="B24" s="345" t="s">
        <v>172</v>
      </c>
      <c r="C24" s="356">
        <f>ROUND(('3.CAGED'!B33) *'3.CAGED'!B24/'3.CAGED'!B25,4)</f>
        <v>4.1799999999999997E-2</v>
      </c>
      <c r="D24" s="147"/>
      <c r="E24" s="150"/>
      <c r="F24" s="142"/>
      <c r="G24" s="142"/>
      <c r="H24" s="142"/>
      <c r="I24" s="142"/>
      <c r="J24" s="142"/>
      <c r="K24" s="142"/>
      <c r="L24" s="142"/>
    </row>
    <row r="25" spans="1:12" ht="13.5" customHeight="1" x14ac:dyDescent="0.2">
      <c r="A25" s="143" t="s">
        <v>214</v>
      </c>
      <c r="B25" s="145" t="s">
        <v>174</v>
      </c>
      <c r="C25" s="357">
        <f>ROUND(IF('3.CAGED'!B34&gt;12,12/'3.CAGED'!B34*0.1111,0.1111),4)</f>
        <v>5.8700000000000002E-2</v>
      </c>
      <c r="D25" s="147"/>
      <c r="F25" s="142"/>
      <c r="G25" s="142"/>
      <c r="H25" s="151"/>
      <c r="I25" s="142"/>
      <c r="J25" s="142"/>
      <c r="K25" s="142"/>
      <c r="L25" s="142"/>
    </row>
    <row r="26" spans="1:12" ht="13.5" customHeight="1" x14ac:dyDescent="0.2">
      <c r="A26" s="143" t="s">
        <v>173</v>
      </c>
      <c r="B26" s="145" t="s">
        <v>176</v>
      </c>
      <c r="C26" s="357">
        <f>ROUND(('3.CAGED'!B27+'3.CAGED'!B26)/360*C24,4)</f>
        <v>4.5999999999999999E-3</v>
      </c>
      <c r="D26" s="147"/>
      <c r="F26" s="142"/>
      <c r="G26" s="142"/>
      <c r="H26" s="142"/>
      <c r="I26" s="142"/>
      <c r="J26" s="142"/>
      <c r="K26" s="142"/>
      <c r="L26" s="142"/>
    </row>
    <row r="27" spans="1:12" ht="13.5" customHeight="1" x14ac:dyDescent="0.2">
      <c r="A27" s="143" t="s">
        <v>175</v>
      </c>
      <c r="B27" s="145" t="s">
        <v>178</v>
      </c>
      <c r="C27" s="357">
        <f>ROUND(('3.CAGED'!B25+'3.CAGED'!B26+'3.CAGED'!B28)/'3.CAGED'!B23*'3.CAGED'!B30*'3.CAGED'!B31*'3.CAGED'!B24/'3.CAGED'!B25,4)</f>
        <v>3.8399999999999997E-2</v>
      </c>
      <c r="D27" s="147"/>
      <c r="F27" s="142"/>
      <c r="G27" s="152"/>
      <c r="H27" s="142"/>
      <c r="I27" s="142"/>
      <c r="J27" s="142"/>
      <c r="K27" s="142"/>
      <c r="L27" s="142"/>
    </row>
    <row r="28" spans="1:12" ht="13.5" customHeight="1" x14ac:dyDescent="0.2">
      <c r="A28" s="143" t="s">
        <v>177</v>
      </c>
      <c r="B28" s="145" t="s">
        <v>179</v>
      </c>
      <c r="C28" s="357">
        <f>ROUND(('3.CAGED'!B27/'3.CAGED'!B25)*'3.CAGED'!B24/12,4)</f>
        <v>3.2000000000000002E-3</v>
      </c>
      <c r="D28" s="147"/>
      <c r="F28" s="142"/>
      <c r="G28" s="142"/>
      <c r="H28" s="142"/>
      <c r="I28" s="142"/>
      <c r="J28" s="142"/>
      <c r="K28" s="142"/>
      <c r="L28" s="142"/>
    </row>
    <row r="29" spans="1:12" ht="13.5" customHeight="1" thickBot="1" x14ac:dyDescent="0.25">
      <c r="A29" s="144" t="s">
        <v>180</v>
      </c>
      <c r="B29" s="346" t="s">
        <v>181</v>
      </c>
      <c r="C29" s="358">
        <f>SUM(C24:C28)</f>
        <v>0.1467</v>
      </c>
      <c r="D29" s="149"/>
      <c r="F29" s="142"/>
      <c r="G29" s="142"/>
      <c r="H29" s="142"/>
      <c r="I29" s="142"/>
      <c r="J29" s="142"/>
      <c r="K29" s="142"/>
      <c r="L29" s="142"/>
    </row>
    <row r="30" spans="1:12" s="142" customFormat="1" ht="13.5" customHeight="1" thickBot="1" x14ac:dyDescent="0.25">
      <c r="A30" s="350"/>
      <c r="B30" s="159"/>
      <c r="C30" s="362"/>
      <c r="D30" s="149"/>
    </row>
    <row r="31" spans="1:12" ht="13.5" customHeight="1" x14ac:dyDescent="0.2">
      <c r="A31" s="348" t="s">
        <v>182</v>
      </c>
      <c r="B31" s="345" t="s">
        <v>183</v>
      </c>
      <c r="C31" s="356">
        <f>ROUND(C14*C22,4)</f>
        <v>6.0400000000000002E-2</v>
      </c>
      <c r="D31" s="147"/>
      <c r="F31" s="142"/>
      <c r="G31" s="142"/>
      <c r="H31" s="142"/>
      <c r="I31" s="142"/>
      <c r="J31" s="142"/>
      <c r="K31" s="142"/>
      <c r="L31" s="142"/>
    </row>
    <row r="32" spans="1:12" ht="13.5" customHeight="1" x14ac:dyDescent="0.2">
      <c r="A32" s="143" t="s">
        <v>184</v>
      </c>
      <c r="B32" s="153" t="s">
        <v>185</v>
      </c>
      <c r="C32" s="357">
        <f>ROUND((C24*C14),4)</f>
        <v>1.54E-2</v>
      </c>
      <c r="D32" s="147"/>
      <c r="F32" s="142"/>
      <c r="G32" s="142"/>
      <c r="H32" s="142"/>
      <c r="I32" s="142"/>
      <c r="J32" s="142"/>
      <c r="K32" s="142"/>
      <c r="L32" s="142"/>
    </row>
    <row r="33" spans="1:12" ht="13.5" customHeight="1" thickBot="1" x14ac:dyDescent="0.25">
      <c r="A33" s="144" t="s">
        <v>186</v>
      </c>
      <c r="B33" s="346" t="s">
        <v>187</v>
      </c>
      <c r="C33" s="358">
        <f>SUM(C31:C32)</f>
        <v>7.5800000000000006E-2</v>
      </c>
      <c r="D33" s="154"/>
      <c r="F33" s="142"/>
      <c r="G33" s="142"/>
      <c r="H33" s="142"/>
      <c r="I33" s="142"/>
      <c r="J33" s="142"/>
      <c r="K33" s="142"/>
      <c r="L33" s="142"/>
    </row>
    <row r="34" spans="1:12" s="142" customFormat="1" ht="13.5" customHeight="1" thickBot="1" x14ac:dyDescent="0.25">
      <c r="A34" s="350"/>
      <c r="B34" s="159"/>
      <c r="C34" s="362"/>
      <c r="D34" s="154"/>
    </row>
    <row r="35" spans="1:12" ht="13.5" customHeight="1" thickBot="1" x14ac:dyDescent="0.25">
      <c r="A35" s="365" t="s">
        <v>332</v>
      </c>
      <c r="B35" s="390" t="s">
        <v>188</v>
      </c>
      <c r="C35" s="391">
        <f>C33+C29+C22+C14</f>
        <v>0.75470000000000004</v>
      </c>
      <c r="D35" s="154"/>
      <c r="F35" s="142"/>
      <c r="G35" s="142"/>
      <c r="H35" s="142"/>
      <c r="I35" s="142"/>
      <c r="J35" s="142"/>
      <c r="K35" s="142"/>
      <c r="L35" s="142"/>
    </row>
    <row r="36" spans="1:12" ht="15" x14ac:dyDescent="0.2">
      <c r="A36" s="349"/>
      <c r="B36" s="155"/>
      <c r="C36" s="359"/>
      <c r="D36" s="156"/>
      <c r="F36" s="142"/>
      <c r="G36" s="142"/>
      <c r="H36" s="142"/>
      <c r="I36" s="142"/>
      <c r="J36" s="142"/>
      <c r="K36" s="142"/>
      <c r="L36" s="142"/>
    </row>
    <row r="37" spans="1:12" ht="14.25" x14ac:dyDescent="0.2">
      <c r="A37" s="349"/>
      <c r="B37" s="147"/>
      <c r="C37" s="360"/>
      <c r="D37" s="157"/>
      <c r="F37" s="142"/>
      <c r="G37" s="142"/>
      <c r="H37" s="142"/>
      <c r="I37" s="142"/>
      <c r="J37" s="142"/>
      <c r="K37" s="142"/>
      <c r="L37" s="142"/>
    </row>
    <row r="38" spans="1:12" ht="14.25" x14ac:dyDescent="0.2">
      <c r="A38" s="350"/>
      <c r="B38" s="146"/>
      <c r="C38" s="361"/>
      <c r="D38" s="146"/>
      <c r="F38" s="142"/>
      <c r="G38" s="142"/>
      <c r="H38" s="142"/>
      <c r="I38" s="142"/>
      <c r="J38" s="142"/>
      <c r="K38" s="142"/>
      <c r="L38" s="142"/>
    </row>
    <row r="39" spans="1:12" ht="14.25" x14ac:dyDescent="0.2">
      <c r="A39" s="350"/>
      <c r="B39" s="146"/>
      <c r="C39" s="361"/>
      <c r="D39" s="146"/>
      <c r="F39" s="142"/>
      <c r="G39" s="142"/>
      <c r="H39" s="142"/>
      <c r="I39" s="142"/>
      <c r="J39" s="142"/>
      <c r="K39" s="142"/>
      <c r="L39" s="142"/>
    </row>
    <row r="40" spans="1:12" ht="14.25" x14ac:dyDescent="0.2">
      <c r="A40" s="350"/>
      <c r="B40" s="146"/>
      <c r="C40" s="361"/>
      <c r="D40" s="146"/>
      <c r="F40" s="142"/>
      <c r="G40" s="142"/>
      <c r="H40" s="142"/>
      <c r="I40" s="142"/>
      <c r="J40" s="142"/>
      <c r="K40" s="142"/>
      <c r="L40" s="142"/>
    </row>
    <row r="41" spans="1:12" ht="15" x14ac:dyDescent="0.2">
      <c r="A41" s="350"/>
      <c r="B41" s="159"/>
      <c r="C41" s="362"/>
      <c r="D41" s="146"/>
      <c r="F41" s="142"/>
      <c r="G41" s="142"/>
      <c r="H41" s="142"/>
      <c r="I41" s="142"/>
      <c r="J41" s="142"/>
      <c r="K41" s="142"/>
      <c r="L41" s="142"/>
    </row>
    <row r="42" spans="1:12" ht="15" x14ac:dyDescent="0.2">
      <c r="A42" s="351"/>
      <c r="B42" s="159"/>
      <c r="C42" s="362"/>
      <c r="D42" s="154"/>
      <c r="E42" s="142"/>
      <c r="F42" s="142"/>
      <c r="G42" s="142"/>
      <c r="H42" s="142"/>
      <c r="I42" s="142"/>
      <c r="J42" s="142"/>
      <c r="K42" s="142"/>
      <c r="L42" s="142"/>
    </row>
    <row r="43" spans="1:12" ht="16.5" x14ac:dyDescent="0.2">
      <c r="A43" s="352"/>
      <c r="B43" s="142"/>
      <c r="C43" s="354"/>
      <c r="E43" s="142"/>
      <c r="F43" s="142"/>
      <c r="G43" s="142"/>
      <c r="H43" s="142"/>
      <c r="I43" s="142"/>
      <c r="J43" s="142"/>
      <c r="K43" s="142"/>
      <c r="L43" s="142"/>
    </row>
    <row r="44" spans="1:12" x14ac:dyDescent="0.2">
      <c r="A44" s="353"/>
      <c r="B44" s="160"/>
      <c r="C44" s="363"/>
      <c r="E44" s="142"/>
      <c r="F44" s="142"/>
      <c r="G44" s="142"/>
      <c r="H44" s="142"/>
      <c r="I44" s="142"/>
      <c r="J44" s="142"/>
      <c r="K44" s="142"/>
      <c r="L44" s="142"/>
    </row>
    <row r="45" spans="1:12" ht="14.25" x14ac:dyDescent="0.2">
      <c r="A45" s="350"/>
      <c r="B45" s="161"/>
      <c r="C45" s="363"/>
      <c r="E45" s="142"/>
      <c r="F45" s="142"/>
      <c r="G45" s="142"/>
      <c r="H45" s="142"/>
      <c r="I45" s="142"/>
      <c r="J45" s="142"/>
      <c r="K45" s="142"/>
      <c r="L45" s="142"/>
    </row>
    <row r="46" spans="1:12" ht="14.25" x14ac:dyDescent="0.2">
      <c r="A46" s="350"/>
      <c r="B46" s="161"/>
      <c r="C46" s="350"/>
      <c r="E46" s="142"/>
      <c r="F46" s="142"/>
      <c r="G46" s="142"/>
      <c r="H46" s="142"/>
      <c r="I46" s="142"/>
      <c r="J46" s="142"/>
      <c r="K46" s="142"/>
      <c r="L46" s="142"/>
    </row>
    <row r="47" spans="1:12" ht="14.25" x14ac:dyDescent="0.2">
      <c r="A47" s="350"/>
      <c r="B47" s="158"/>
      <c r="C47" s="363"/>
      <c r="E47" s="142"/>
      <c r="F47" s="142"/>
      <c r="G47" s="142"/>
      <c r="H47" s="142"/>
      <c r="I47" s="142"/>
      <c r="J47" s="142"/>
      <c r="K47" s="142"/>
      <c r="L47" s="142"/>
    </row>
    <row r="48" spans="1:12" ht="14.25" x14ac:dyDescent="0.2">
      <c r="A48" s="350"/>
      <c r="B48" s="161"/>
      <c r="C48" s="350"/>
      <c r="E48" s="142"/>
      <c r="F48" s="142"/>
      <c r="G48" s="142"/>
      <c r="H48" s="142"/>
      <c r="I48" s="142"/>
      <c r="J48" s="142"/>
      <c r="K48" s="142"/>
      <c r="L48" s="142"/>
    </row>
    <row r="49" spans="1:12" ht="14.25" x14ac:dyDescent="0.2">
      <c r="A49" s="350"/>
      <c r="B49" s="158"/>
      <c r="C49" s="363"/>
      <c r="E49" s="142"/>
      <c r="F49" s="142"/>
      <c r="G49" s="142"/>
      <c r="H49" s="142"/>
      <c r="I49" s="142"/>
      <c r="J49" s="142"/>
      <c r="K49" s="142"/>
      <c r="L49" s="142"/>
    </row>
    <row r="50" spans="1:12" ht="14.25" x14ac:dyDescent="0.2">
      <c r="A50" s="350"/>
      <c r="B50" s="161"/>
      <c r="C50" s="350"/>
      <c r="E50" s="142"/>
      <c r="F50" s="142"/>
      <c r="G50" s="142"/>
      <c r="H50" s="142"/>
      <c r="I50" s="142"/>
      <c r="J50" s="142"/>
      <c r="K50" s="142"/>
      <c r="L50" s="142"/>
    </row>
    <row r="51" spans="1:12" ht="14.25" x14ac:dyDescent="0.2">
      <c r="A51" s="350"/>
      <c r="B51" s="158"/>
      <c r="C51" s="363"/>
      <c r="E51" s="142"/>
      <c r="F51" s="142"/>
      <c r="G51" s="142"/>
      <c r="H51" s="142"/>
      <c r="I51" s="142"/>
      <c r="J51" s="142"/>
      <c r="K51" s="142"/>
      <c r="L51" s="142"/>
    </row>
    <row r="52" spans="1:12" ht="14.25" x14ac:dyDescent="0.2">
      <c r="A52" s="350"/>
      <c r="B52" s="161"/>
      <c r="C52" s="350"/>
      <c r="E52" s="142"/>
      <c r="F52" s="142"/>
      <c r="G52" s="142"/>
      <c r="H52" s="142"/>
      <c r="I52" s="142"/>
      <c r="J52" s="142"/>
      <c r="K52" s="142"/>
      <c r="L52" s="142"/>
    </row>
    <row r="53" spans="1:12" ht="14.25" x14ac:dyDescent="0.2">
      <c r="A53" s="350"/>
      <c r="B53" s="158"/>
      <c r="C53" s="363"/>
      <c r="E53" s="142"/>
      <c r="F53" s="142"/>
      <c r="G53" s="142"/>
      <c r="H53" s="142"/>
      <c r="I53" s="142"/>
      <c r="J53" s="142"/>
      <c r="K53" s="142"/>
      <c r="L53" s="142"/>
    </row>
    <row r="54" spans="1:12" ht="16.5" x14ac:dyDescent="0.2">
      <c r="A54" s="352"/>
      <c r="B54" s="142"/>
      <c r="C54" s="354"/>
      <c r="E54" s="142"/>
      <c r="F54" s="142"/>
      <c r="G54" s="142"/>
      <c r="H54" s="142"/>
      <c r="I54" s="142"/>
      <c r="J54" s="142"/>
      <c r="K54" s="142"/>
      <c r="L54" s="142"/>
    </row>
    <row r="55" spans="1:12" x14ac:dyDescent="0.2">
      <c r="A55" s="354"/>
      <c r="B55" s="142"/>
      <c r="C55" s="354"/>
      <c r="E55" s="142"/>
      <c r="F55" s="142"/>
      <c r="G55" s="142"/>
      <c r="H55" s="142"/>
      <c r="I55" s="142"/>
      <c r="J55" s="142"/>
      <c r="K55" s="142"/>
      <c r="L55" s="142"/>
    </row>
    <row r="56" spans="1:12" x14ac:dyDescent="0.2">
      <c r="A56" s="354"/>
      <c r="B56" s="142"/>
      <c r="C56" s="354"/>
      <c r="E56" s="142"/>
      <c r="F56" s="142"/>
      <c r="G56" s="142"/>
      <c r="H56" s="142"/>
      <c r="I56" s="142"/>
      <c r="J56" s="142"/>
      <c r="K56" s="142"/>
      <c r="L56" s="142"/>
    </row>
    <row r="57" spans="1:12" x14ac:dyDescent="0.2">
      <c r="A57" s="353"/>
      <c r="B57" s="142"/>
      <c r="C57" s="354"/>
      <c r="E57" s="142"/>
      <c r="F57" s="142"/>
      <c r="G57" s="142"/>
      <c r="H57" s="142"/>
      <c r="I57" s="142"/>
      <c r="J57" s="142"/>
      <c r="K57" s="142"/>
      <c r="L57" s="142"/>
    </row>
    <row r="58" spans="1:12" x14ac:dyDescent="0.2">
      <c r="A58" s="354"/>
      <c r="B58" s="142"/>
      <c r="C58" s="354"/>
      <c r="E58" s="142"/>
    </row>
    <row r="59" spans="1:12" x14ac:dyDescent="0.2">
      <c r="A59" s="354"/>
      <c r="B59" s="142"/>
      <c r="C59" s="354"/>
      <c r="E59" s="142"/>
    </row>
    <row r="60" spans="1:12" x14ac:dyDescent="0.2">
      <c r="A60" s="354"/>
      <c r="B60" s="142"/>
      <c r="C60" s="354"/>
      <c r="E60" s="142"/>
    </row>
    <row r="61" spans="1:12" x14ac:dyDescent="0.2">
      <c r="A61" s="354"/>
      <c r="B61" s="142"/>
      <c r="C61" s="354"/>
      <c r="E61" s="142"/>
    </row>
    <row r="62" spans="1:12" x14ac:dyDescent="0.2">
      <c r="A62" s="354"/>
      <c r="B62" s="142"/>
      <c r="C62" s="354"/>
      <c r="E62" s="142"/>
    </row>
    <row r="63" spans="1:12" x14ac:dyDescent="0.2">
      <c r="A63" s="354"/>
      <c r="B63" s="142"/>
      <c r="C63" s="354"/>
      <c r="E63" s="142"/>
    </row>
    <row r="64" spans="1:12" x14ac:dyDescent="0.2">
      <c r="A64" s="354"/>
      <c r="B64" s="142"/>
      <c r="C64" s="354"/>
      <c r="E64" s="142"/>
    </row>
    <row r="65" spans="1:5" x14ac:dyDescent="0.2">
      <c r="A65" s="354"/>
      <c r="B65" s="142"/>
      <c r="C65" s="354"/>
      <c r="E65" s="142"/>
    </row>
    <row r="66" spans="1:5" x14ac:dyDescent="0.2">
      <c r="A66" s="354"/>
      <c r="B66" s="142"/>
      <c r="C66" s="354"/>
      <c r="E66" s="142"/>
    </row>
  </sheetData>
  <mergeCells count="1">
    <mergeCell ref="A1:C1"/>
  </mergeCells>
  <printOptions horizontalCentered="1"/>
  <pageMargins left="0.9055118110236221" right="0.51181102362204722" top="0.74803149606299213" bottom="0.74803149606299213" header="0.31496062992125984" footer="0.31496062992125984"/>
  <pageSetup paperSize="9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topLeftCell="A37" zoomScaleNormal="100" workbookViewId="0">
      <selection activeCell="M15" sqref="M15"/>
    </sheetView>
  </sheetViews>
  <sheetFormatPr defaultRowHeight="12.75" x14ac:dyDescent="0.2"/>
  <cols>
    <col min="1" max="1" width="63.42578125" style="1" customWidth="1"/>
    <col min="2" max="2" width="13.7109375" style="1" customWidth="1"/>
    <col min="3" max="3" width="10.28515625" style="1" hidden="1" customWidth="1"/>
    <col min="4" max="4" width="13.7109375" style="1" hidden="1" customWidth="1"/>
    <col min="5" max="5" width="14.42578125" style="1" hidden="1" customWidth="1"/>
    <col min="6" max="6" width="12.7109375" style="1" hidden="1" customWidth="1"/>
    <col min="7" max="7" width="4.42578125" style="1" hidden="1" customWidth="1"/>
    <col min="8" max="8" width="6.85546875" style="1" hidden="1" customWidth="1"/>
    <col min="9" max="9" width="3.28515625" style="1" hidden="1" customWidth="1"/>
    <col min="10" max="10" width="0" style="1" hidden="1" customWidth="1"/>
    <col min="11" max="16384" width="9.140625" style="1"/>
  </cols>
  <sheetData>
    <row r="1" spans="1:2" ht="18" x14ac:dyDescent="0.25">
      <c r="A1" s="422" t="s">
        <v>225</v>
      </c>
      <c r="B1" s="423"/>
    </row>
    <row r="2" spans="1:2" s="238" customFormat="1" ht="13.5" customHeight="1" x14ac:dyDescent="0.2">
      <c r="A2" s="328"/>
      <c r="B2" s="328"/>
    </row>
    <row r="3" spans="1:2" s="238" customFormat="1" ht="13.5" customHeight="1" x14ac:dyDescent="0.2">
      <c r="A3" s="328"/>
      <c r="B3" s="328"/>
    </row>
    <row r="4" spans="1:2" s="236" customFormat="1" ht="13.5" customHeight="1" x14ac:dyDescent="0.25">
      <c r="A4" s="342" t="s">
        <v>203</v>
      </c>
      <c r="B4" s="328"/>
    </row>
    <row r="5" spans="1:2" s="236" customFormat="1" ht="13.5" customHeight="1" thickBot="1" x14ac:dyDescent="0.25">
      <c r="A5" s="341"/>
      <c r="B5" s="328"/>
    </row>
    <row r="6" spans="1:2" s="236" customFormat="1" ht="13.5" customHeight="1" thickBot="1" x14ac:dyDescent="0.25">
      <c r="A6" s="369" t="s">
        <v>140</v>
      </c>
      <c r="B6" s="370" t="s">
        <v>141</v>
      </c>
    </row>
    <row r="7" spans="1:2" s="236" customFormat="1" ht="13.5" customHeight="1" thickBot="1" x14ac:dyDescent="0.25">
      <c r="A7" s="341"/>
      <c r="B7" s="328"/>
    </row>
    <row r="8" spans="1:2" s="236" customFormat="1" ht="13.5" customHeight="1" x14ac:dyDescent="0.2">
      <c r="A8" s="329" t="s">
        <v>121</v>
      </c>
      <c r="B8" s="343">
        <v>2086</v>
      </c>
    </row>
    <row r="9" spans="1:2" s="236" customFormat="1" ht="13.5" customHeight="1" x14ac:dyDescent="0.2">
      <c r="A9" s="325" t="s">
        <v>122</v>
      </c>
      <c r="B9" s="324">
        <v>3155</v>
      </c>
    </row>
    <row r="10" spans="1:2" s="236" customFormat="1" ht="13.5" customHeight="1" x14ac:dyDescent="0.2">
      <c r="A10" s="326" t="s">
        <v>123</v>
      </c>
      <c r="B10" s="327">
        <v>154</v>
      </c>
    </row>
    <row r="11" spans="1:2" s="236" customFormat="1" ht="13.5" customHeight="1" x14ac:dyDescent="0.2">
      <c r="A11" s="326" t="s">
        <v>124</v>
      </c>
      <c r="B11" s="327">
        <v>2262</v>
      </c>
    </row>
    <row r="12" spans="1:2" s="236" customFormat="1" ht="13.5" customHeight="1" x14ac:dyDescent="0.2">
      <c r="A12" s="326" t="s">
        <v>125</v>
      </c>
      <c r="B12" s="327">
        <v>325</v>
      </c>
    </row>
    <row r="13" spans="1:2" s="236" customFormat="1" ht="13.5" customHeight="1" x14ac:dyDescent="0.2">
      <c r="A13" s="326" t="s">
        <v>126</v>
      </c>
      <c r="B13" s="327">
        <v>24</v>
      </c>
    </row>
    <row r="14" spans="1:2" s="236" customFormat="1" ht="13.5" customHeight="1" x14ac:dyDescent="0.2">
      <c r="A14" s="326" t="s">
        <v>127</v>
      </c>
      <c r="B14" s="327">
        <v>356</v>
      </c>
    </row>
    <row r="15" spans="1:2" s="236" customFormat="1" ht="13.5" customHeight="1" x14ac:dyDescent="0.2">
      <c r="A15" s="326" t="s">
        <v>128</v>
      </c>
      <c r="B15" s="327">
        <v>1</v>
      </c>
    </row>
    <row r="16" spans="1:2" s="236" customFormat="1" ht="13.5" customHeight="1" x14ac:dyDescent="0.2">
      <c r="A16" s="326" t="s">
        <v>129</v>
      </c>
      <c r="B16" s="327">
        <v>26</v>
      </c>
    </row>
    <row r="17" spans="1:10" s="236" customFormat="1" ht="13.5" customHeight="1" x14ac:dyDescent="0.2">
      <c r="A17" s="326" t="s">
        <v>130</v>
      </c>
      <c r="B17" s="327">
        <v>0</v>
      </c>
    </row>
    <row r="18" spans="1:10" s="236" customFormat="1" ht="13.5" customHeight="1" x14ac:dyDescent="0.2">
      <c r="A18" s="325" t="s">
        <v>131</v>
      </c>
      <c r="B18" s="327"/>
    </row>
    <row r="19" spans="1:10" s="236" customFormat="1" ht="13.5" customHeight="1" x14ac:dyDescent="0.2">
      <c r="A19" s="326" t="s">
        <v>314</v>
      </c>
      <c r="B19" s="327">
        <v>4974</v>
      </c>
    </row>
    <row r="20" spans="1:10" s="236" customFormat="1" ht="13.5" customHeight="1" x14ac:dyDescent="0.2">
      <c r="A20" s="326" t="s">
        <v>316</v>
      </c>
      <c r="B20" s="327">
        <v>4941</v>
      </c>
    </row>
    <row r="21" spans="1:10" s="236" customFormat="1" ht="13.5" customHeight="1" thickBot="1" x14ac:dyDescent="0.25">
      <c r="A21" s="336" t="s">
        <v>315</v>
      </c>
      <c r="B21" s="337">
        <v>-1069</v>
      </c>
    </row>
    <row r="22" spans="1:10" s="236" customFormat="1" ht="13.5" customHeight="1" thickBot="1" x14ac:dyDescent="0.25">
      <c r="A22" s="238"/>
      <c r="B22" s="238"/>
    </row>
    <row r="23" spans="1:10" s="236" customFormat="1" ht="13.5" customHeight="1" x14ac:dyDescent="0.2">
      <c r="A23" s="338" t="s">
        <v>132</v>
      </c>
      <c r="B23" s="330">
        <f>MEDIAN(B8,B9)/MEDIAN(B19,B20)</f>
        <v>0.52859304084720116</v>
      </c>
      <c r="F23" s="236">
        <f>12/B23</f>
        <v>22.701774470520895</v>
      </c>
    </row>
    <row r="24" spans="1:10" s="236" customFormat="1" ht="13.5" customHeight="1" x14ac:dyDescent="0.2">
      <c r="A24" s="339" t="s">
        <v>133</v>
      </c>
      <c r="B24" s="331">
        <f>B11/MEDIAN(B19,B20)</f>
        <v>0.45627836611195161</v>
      </c>
    </row>
    <row r="25" spans="1:10" s="236" customFormat="1" ht="13.5" customHeight="1" x14ac:dyDescent="0.2">
      <c r="A25" s="339" t="s">
        <v>134</v>
      </c>
      <c r="B25" s="324">
        <v>360</v>
      </c>
    </row>
    <row r="26" spans="1:10" s="236" customFormat="1" ht="13.5" customHeight="1" x14ac:dyDescent="0.2">
      <c r="A26" s="339" t="s">
        <v>236</v>
      </c>
      <c r="B26" s="324">
        <v>10</v>
      </c>
    </row>
    <row r="27" spans="1:10" s="236" customFormat="1" ht="13.5" customHeight="1" x14ac:dyDescent="0.2">
      <c r="A27" s="339" t="s">
        <v>237</v>
      </c>
      <c r="B27" s="324">
        <v>30</v>
      </c>
      <c r="F27" s="236">
        <f>TRUNC(F32)</f>
        <v>10</v>
      </c>
    </row>
    <row r="28" spans="1:10" s="236" customFormat="1" ht="13.5" customHeight="1" x14ac:dyDescent="0.2">
      <c r="A28" s="339" t="s">
        <v>238</v>
      </c>
      <c r="B28" s="324">
        <v>30</v>
      </c>
    </row>
    <row r="29" spans="1:10" s="237" customFormat="1" ht="13.5" customHeight="1" x14ac:dyDescent="0.2">
      <c r="A29" s="339" t="s">
        <v>135</v>
      </c>
      <c r="B29" s="332">
        <f>MEDIAN(B19,B20)</f>
        <v>4957.5</v>
      </c>
    </row>
    <row r="30" spans="1:10" s="237" customFormat="1" ht="13.5" customHeight="1" x14ac:dyDescent="0.2">
      <c r="A30" s="339" t="s">
        <v>40</v>
      </c>
      <c r="B30" s="333">
        <v>0.08</v>
      </c>
      <c r="J30" s="237">
        <f>IF(B34&gt;12,B34-12,B34)</f>
        <v>10.701774470520895</v>
      </c>
    </row>
    <row r="31" spans="1:10" s="237" customFormat="1" ht="13.5" customHeight="1" x14ac:dyDescent="0.2">
      <c r="A31" s="339" t="s">
        <v>136</v>
      </c>
      <c r="B31" s="333">
        <v>0.5</v>
      </c>
      <c r="J31" s="237" t="e">
        <f>IF(#REF!&gt;12,#REF!-12,#REF!)</f>
        <v>#REF!</v>
      </c>
    </row>
    <row r="32" spans="1:10" s="237" customFormat="1" ht="13.5" customHeight="1" x14ac:dyDescent="0.2">
      <c r="A32" s="339" t="s">
        <v>137</v>
      </c>
      <c r="B32" s="334">
        <f>((1/B23)-TRUNC(D32))</f>
        <v>0.8918145392100747</v>
      </c>
      <c r="C32" s="237">
        <f>TRUNC(D32)</f>
        <v>1</v>
      </c>
      <c r="D32" s="237">
        <f>1/B23</f>
        <v>1.8918145392100747</v>
      </c>
      <c r="E32" s="237">
        <f>((1/B23)-TRUNC(D32))</f>
        <v>0.8918145392100747</v>
      </c>
      <c r="F32" s="237">
        <f>12*E32</f>
        <v>10.701774470520895</v>
      </c>
      <c r="J32" s="237" t="e">
        <f>IF(#REF!&gt;12,#REF!-12,#REF!)</f>
        <v>#REF!</v>
      </c>
    </row>
    <row r="33" spans="1:10" s="237" customFormat="1" ht="13.5" customHeight="1" x14ac:dyDescent="0.2">
      <c r="A33" s="339" t="s">
        <v>138</v>
      </c>
      <c r="B33" s="324">
        <f>30+C33</f>
        <v>33</v>
      </c>
      <c r="C33" s="237">
        <f>3*C32</f>
        <v>3</v>
      </c>
      <c r="F33" s="237">
        <f>F32/12*40/360</f>
        <v>9.9090504356674949E-2</v>
      </c>
      <c r="J33" s="237" t="e">
        <f>IF(#REF!&gt;12,#REF!-12,#REF!)</f>
        <v>#REF!</v>
      </c>
    </row>
    <row r="34" spans="1:10" s="237" customFormat="1" ht="13.5" customHeight="1" thickBot="1" x14ac:dyDescent="0.25">
      <c r="A34" s="340" t="s">
        <v>240</v>
      </c>
      <c r="B34" s="335">
        <f>12/B23</f>
        <v>22.701774470520895</v>
      </c>
      <c r="J34" s="237" t="e">
        <f>IF(#REF!&gt;12,#REF!-12,#REF!)</f>
        <v>#REF!</v>
      </c>
    </row>
    <row r="35" spans="1:10" x14ac:dyDescent="0.2">
      <c r="J35" s="1" t="e">
        <f t="shared" ref="J35:J36" si="0">IF(J34&gt;12,J34-12,J34)</f>
        <v>#REF!</v>
      </c>
    </row>
    <row r="36" spans="1:10" x14ac:dyDescent="0.2">
      <c r="J36" s="1" t="e">
        <f t="shared" si="0"/>
        <v>#REF!</v>
      </c>
    </row>
  </sheetData>
  <mergeCells count="1">
    <mergeCell ref="A1:B1"/>
  </mergeCells>
  <printOptions horizontalCentered="1"/>
  <pageMargins left="0.9055118110236221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opLeftCell="C22" zoomScaleNormal="100" workbookViewId="0">
      <selection activeCell="E10" sqref="E10"/>
    </sheetView>
  </sheetViews>
  <sheetFormatPr defaultRowHeight="12.75" x14ac:dyDescent="0.2"/>
  <cols>
    <col min="1" max="1" width="39.7109375" customWidth="1"/>
    <col min="2" max="2" width="5.5703125" bestFit="1" customWidth="1"/>
    <col min="4" max="4" width="9.7109375" bestFit="1" customWidth="1"/>
    <col min="5" max="5" width="8" style="116" bestFit="1" customWidth="1"/>
    <col min="6" max="6" width="9.7109375" bestFit="1" customWidth="1"/>
  </cols>
  <sheetData>
    <row r="1" spans="1:8" ht="22.5" customHeight="1" x14ac:dyDescent="0.2">
      <c r="A1" s="429" t="s">
        <v>226</v>
      </c>
      <c r="B1" s="430"/>
      <c r="C1" s="430"/>
      <c r="D1" s="430"/>
      <c r="E1" s="430"/>
      <c r="F1" s="431"/>
    </row>
    <row r="2" spans="1:8" ht="13.5" customHeight="1" x14ac:dyDescent="0.2">
      <c r="A2" s="288"/>
      <c r="B2" s="288"/>
      <c r="C2" s="288"/>
      <c r="D2" s="288"/>
      <c r="E2" s="288"/>
      <c r="F2" s="288"/>
    </row>
    <row r="3" spans="1:8" ht="13.5" customHeight="1" thickBot="1" x14ac:dyDescent="0.25">
      <c r="A3" s="288"/>
      <c r="B3" s="288"/>
      <c r="C3" s="288"/>
      <c r="D3" s="288"/>
      <c r="E3" s="288"/>
      <c r="F3" s="288"/>
    </row>
    <row r="4" spans="1:8" ht="13.5" customHeight="1" x14ac:dyDescent="0.2">
      <c r="A4" s="401"/>
      <c r="B4" s="289"/>
      <c r="C4" s="289"/>
      <c r="D4" s="426" t="s">
        <v>239</v>
      </c>
      <c r="E4" s="427"/>
      <c r="F4" s="428"/>
      <c r="G4" s="134"/>
      <c r="H4" s="134"/>
    </row>
    <row r="5" spans="1:8" ht="13.5" customHeight="1" thickBot="1" x14ac:dyDescent="0.25">
      <c r="A5" s="276"/>
      <c r="B5" s="276"/>
      <c r="C5" s="276"/>
      <c r="D5" s="371" t="s">
        <v>189</v>
      </c>
      <c r="E5" s="372" t="s">
        <v>190</v>
      </c>
      <c r="F5" s="373" t="s">
        <v>191</v>
      </c>
      <c r="G5" s="134"/>
      <c r="H5" s="134"/>
    </row>
    <row r="6" spans="1:8" ht="13.5" customHeight="1" x14ac:dyDescent="0.2">
      <c r="A6" s="402" t="s">
        <v>75</v>
      </c>
      <c r="B6" s="290" t="s">
        <v>76</v>
      </c>
      <c r="C6" s="291">
        <v>5.0799999999999998E-2</v>
      </c>
      <c r="D6" s="315">
        <v>2.9700000000000001E-2</v>
      </c>
      <c r="E6" s="316">
        <v>5.0799999999999998E-2</v>
      </c>
      <c r="F6" s="317">
        <v>6.2700000000000006E-2</v>
      </c>
      <c r="G6" s="134"/>
      <c r="H6" s="134"/>
    </row>
    <row r="7" spans="1:8" ht="13.5" customHeight="1" x14ac:dyDescent="0.2">
      <c r="A7" s="295" t="s">
        <v>77</v>
      </c>
      <c r="B7" s="296" t="s">
        <v>78</v>
      </c>
      <c r="C7" s="297">
        <v>1.3299999999999999E-2</v>
      </c>
      <c r="D7" s="292">
        <f>0.3%+0.56%</f>
        <v>8.6E-3</v>
      </c>
      <c r="E7" s="293">
        <f>0.48%+0.85%</f>
        <v>1.3299999999999999E-2</v>
      </c>
      <c r="F7" s="294">
        <f>0.82%+0.89%</f>
        <v>1.7099999999999997E-2</v>
      </c>
      <c r="G7" s="134"/>
      <c r="H7" s="134"/>
    </row>
    <row r="8" spans="1:8" ht="13.5" customHeight="1" x14ac:dyDescent="0.2">
      <c r="A8" s="295" t="s">
        <v>79</v>
      </c>
      <c r="B8" s="296" t="s">
        <v>80</v>
      </c>
      <c r="C8" s="297">
        <v>0.1085</v>
      </c>
      <c r="D8" s="292">
        <v>7.7799999999999994E-2</v>
      </c>
      <c r="E8" s="293">
        <v>0.1085</v>
      </c>
      <c r="F8" s="294">
        <v>0.13550000000000001</v>
      </c>
      <c r="G8" s="134"/>
      <c r="H8" s="134"/>
    </row>
    <row r="9" spans="1:8" ht="13.5" customHeight="1" x14ac:dyDescent="0.2">
      <c r="A9" s="295" t="s">
        <v>81</v>
      </c>
      <c r="B9" s="296" t="s">
        <v>82</v>
      </c>
      <c r="C9" s="298">
        <f>(1+E9)^(E10/252)-1</f>
        <v>2.5021250698071817E-3</v>
      </c>
      <c r="D9" s="292" t="s">
        <v>270</v>
      </c>
      <c r="E9" s="299">
        <v>6.5000000000000002E-2</v>
      </c>
      <c r="F9" s="300"/>
      <c r="G9" s="134"/>
      <c r="H9" s="134"/>
    </row>
    <row r="10" spans="1:8" ht="13.5" customHeight="1" x14ac:dyDescent="0.2">
      <c r="A10" s="295" t="s">
        <v>83</v>
      </c>
      <c r="B10" s="424" t="s">
        <v>84</v>
      </c>
      <c r="C10" s="297">
        <v>0.03</v>
      </c>
      <c r="D10" s="301" t="s">
        <v>192</v>
      </c>
      <c r="E10" s="302">
        <v>10</v>
      </c>
      <c r="F10" s="303"/>
      <c r="G10" s="134"/>
      <c r="H10" s="134"/>
    </row>
    <row r="11" spans="1:8" ht="13.5" customHeight="1" thickBot="1" x14ac:dyDescent="0.25">
      <c r="A11" s="304" t="s">
        <v>85</v>
      </c>
      <c r="B11" s="425"/>
      <c r="C11" s="305">
        <v>3.6499999999999998E-2</v>
      </c>
      <c r="D11" s="306"/>
      <c r="E11" s="307"/>
      <c r="F11" s="303"/>
      <c r="G11" s="134"/>
      <c r="H11" s="134"/>
    </row>
    <row r="12" spans="1:8" ht="13.5" customHeight="1" x14ac:dyDescent="0.2">
      <c r="A12" s="308" t="s">
        <v>86</v>
      </c>
      <c r="B12" s="309"/>
      <c r="C12" s="310"/>
      <c r="D12" s="306"/>
      <c r="E12" s="307"/>
      <c r="F12" s="303"/>
      <c r="G12" s="134"/>
      <c r="H12" s="134"/>
    </row>
    <row r="13" spans="1:8" ht="13.5" customHeight="1" thickBot="1" x14ac:dyDescent="0.25">
      <c r="A13" s="311" t="s">
        <v>87</v>
      </c>
      <c r="B13" s="312"/>
      <c r="C13" s="313"/>
      <c r="D13" s="318"/>
      <c r="E13" s="319"/>
      <c r="F13" s="320"/>
      <c r="G13" s="134"/>
      <c r="H13" s="134"/>
    </row>
    <row r="14" spans="1:8" ht="13.5" customHeight="1" thickBot="1" x14ac:dyDescent="0.25">
      <c r="A14" s="375" t="s">
        <v>88</v>
      </c>
      <c r="B14" s="314"/>
      <c r="C14" s="374">
        <f>ROUND((((1+C6+C7)*(1+C8)*(1+C9))/(1-(C10+C11))-1),4)</f>
        <v>0.26669999999999999</v>
      </c>
      <c r="D14" s="321">
        <v>0.21429999999999999</v>
      </c>
      <c r="E14" s="322">
        <v>0.2717</v>
      </c>
      <c r="F14" s="323">
        <v>0.3362</v>
      </c>
      <c r="G14" s="134"/>
      <c r="H14" s="134"/>
    </row>
    <row r="15" spans="1:8" ht="14.25" x14ac:dyDescent="0.2">
      <c r="A15" s="134"/>
      <c r="B15" s="134"/>
      <c r="C15" s="134"/>
      <c r="D15" s="134"/>
      <c r="E15" s="135"/>
      <c r="F15" s="134"/>
      <c r="G15" s="134"/>
      <c r="H15" s="134"/>
    </row>
    <row r="16" spans="1:8" ht="14.25" x14ac:dyDescent="0.2">
      <c r="A16" s="134"/>
      <c r="B16" s="134"/>
      <c r="C16" s="134"/>
      <c r="D16" s="134"/>
      <c r="E16" s="135"/>
      <c r="F16" s="134"/>
      <c r="G16" s="134"/>
      <c r="H16" s="134"/>
    </row>
    <row r="17" spans="1:8" ht="14.25" x14ac:dyDescent="0.2">
      <c r="A17" s="134"/>
      <c r="B17" s="134"/>
      <c r="C17" s="134"/>
      <c r="D17" s="134"/>
      <c r="E17" s="135"/>
      <c r="F17" s="134"/>
      <c r="G17" s="134"/>
      <c r="H17" s="134"/>
    </row>
    <row r="18" spans="1:8" ht="14.25" x14ac:dyDescent="0.2">
      <c r="A18" s="134"/>
      <c r="B18" s="134"/>
      <c r="C18" s="134"/>
      <c r="D18" s="134"/>
      <c r="E18" s="135"/>
      <c r="F18" s="134"/>
      <c r="G18" s="134"/>
      <c r="H18" s="134"/>
    </row>
  </sheetData>
  <mergeCells count="3">
    <mergeCell ref="B10:B11"/>
    <mergeCell ref="D4:F4"/>
    <mergeCell ref="A1:F1"/>
  </mergeCells>
  <printOptions horizontalCentered="1"/>
  <pageMargins left="0.9055118110236221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4" sqref="B4:C4"/>
    </sheetView>
  </sheetViews>
  <sheetFormatPr defaultRowHeight="19.5" customHeight="1" x14ac:dyDescent="0.2"/>
  <cols>
    <col min="1" max="1" width="6.85546875" style="185" customWidth="1"/>
    <col min="2" max="2" width="22.7109375" style="185" customWidth="1"/>
    <col min="3" max="3" width="20.85546875" style="185" customWidth="1"/>
    <col min="4" max="4" width="6.85546875" style="185" customWidth="1"/>
    <col min="5" max="16384" width="9.140625" style="185"/>
  </cols>
  <sheetData>
    <row r="1" spans="1:4" ht="22.5" customHeight="1" x14ac:dyDescent="0.2">
      <c r="A1" s="411" t="s">
        <v>228</v>
      </c>
      <c r="B1" s="411"/>
      <c r="C1" s="411"/>
      <c r="D1" s="411"/>
    </row>
    <row r="2" spans="1:4" ht="13.5" customHeight="1" x14ac:dyDescent="0.2">
      <c r="A2" s="238"/>
      <c r="B2" s="280"/>
      <c r="C2" s="280"/>
      <c r="D2" s="238"/>
    </row>
    <row r="3" spans="1:4" ht="13.5" customHeight="1" thickBot="1" x14ac:dyDescent="0.25">
      <c r="A3" s="238"/>
      <c r="B3" s="280"/>
      <c r="C3" s="280"/>
      <c r="D3" s="238"/>
    </row>
    <row r="4" spans="1:4" s="105" customFormat="1" ht="13.5" customHeight="1" thickBot="1" x14ac:dyDescent="0.25">
      <c r="B4" s="376" t="s">
        <v>204</v>
      </c>
      <c r="C4" s="377" t="s">
        <v>271</v>
      </c>
    </row>
    <row r="5" spans="1:4" ht="13.5" customHeight="1" x14ac:dyDescent="0.2">
      <c r="B5" s="285">
        <v>1</v>
      </c>
      <c r="C5" s="286">
        <v>33.629999999999995</v>
      </c>
    </row>
    <row r="6" spans="1:4" ht="13.5" customHeight="1" x14ac:dyDescent="0.2">
      <c r="B6" s="281">
        <v>2</v>
      </c>
      <c r="C6" s="283">
        <v>43.13</v>
      </c>
    </row>
    <row r="7" spans="1:4" ht="13.5" customHeight="1" x14ac:dyDescent="0.2">
      <c r="B7" s="281">
        <v>3</v>
      </c>
      <c r="C7" s="283">
        <v>48.68</v>
      </c>
    </row>
    <row r="8" spans="1:4" ht="13.5" customHeight="1" x14ac:dyDescent="0.2">
      <c r="B8" s="281">
        <v>4</v>
      </c>
      <c r="C8" s="283">
        <v>52.62</v>
      </c>
    </row>
    <row r="9" spans="1:4" ht="13.5" customHeight="1" x14ac:dyDescent="0.2">
      <c r="B9" s="281">
        <v>5</v>
      </c>
      <c r="C9" s="283">
        <v>55.679999999999993</v>
      </c>
    </row>
    <row r="10" spans="1:4" ht="13.5" customHeight="1" x14ac:dyDescent="0.2">
      <c r="B10" s="281">
        <v>6</v>
      </c>
      <c r="C10" s="283">
        <v>58.18</v>
      </c>
    </row>
    <row r="11" spans="1:4" ht="13.5" customHeight="1" x14ac:dyDescent="0.2">
      <c r="B11" s="281">
        <v>7</v>
      </c>
      <c r="C11" s="283">
        <v>60.29</v>
      </c>
    </row>
    <row r="12" spans="1:4" ht="13.5" customHeight="1" x14ac:dyDescent="0.2">
      <c r="B12" s="281">
        <v>8</v>
      </c>
      <c r="C12" s="283">
        <v>62.12</v>
      </c>
    </row>
    <row r="13" spans="1:4" ht="13.5" customHeight="1" x14ac:dyDescent="0.2">
      <c r="B13" s="281">
        <v>9</v>
      </c>
      <c r="C13" s="283">
        <v>63.73</v>
      </c>
    </row>
    <row r="14" spans="1:4" ht="13.5" customHeight="1" x14ac:dyDescent="0.2">
      <c r="B14" s="281">
        <v>10</v>
      </c>
      <c r="C14" s="283">
        <v>65.180000000000007</v>
      </c>
    </row>
    <row r="15" spans="1:4" ht="13.5" customHeight="1" x14ac:dyDescent="0.2">
      <c r="B15" s="281">
        <v>11</v>
      </c>
      <c r="C15" s="283">
        <v>66.47999999999999</v>
      </c>
    </row>
    <row r="16" spans="1:4" ht="13.5" customHeight="1" x14ac:dyDescent="0.2">
      <c r="B16" s="281">
        <v>12</v>
      </c>
      <c r="C16" s="283">
        <v>67.67</v>
      </c>
    </row>
    <row r="17" spans="2:3" ht="13.5" customHeight="1" x14ac:dyDescent="0.2">
      <c r="B17" s="281">
        <v>13</v>
      </c>
      <c r="C17" s="283">
        <v>68.77</v>
      </c>
    </row>
    <row r="18" spans="2:3" ht="13.5" customHeight="1" x14ac:dyDescent="0.2">
      <c r="B18" s="281">
        <v>14</v>
      </c>
      <c r="C18" s="283">
        <v>69.789999999999992</v>
      </c>
    </row>
    <row r="19" spans="2:3" ht="13.5" customHeight="1" thickBot="1" x14ac:dyDescent="0.25">
      <c r="B19" s="282">
        <v>15</v>
      </c>
      <c r="C19" s="284">
        <v>70.73</v>
      </c>
    </row>
    <row r="21" spans="2:3" ht="19.5" customHeight="1" x14ac:dyDescent="0.2">
      <c r="B21" s="287"/>
    </row>
  </sheetData>
  <mergeCells count="1">
    <mergeCell ref="A1:D1"/>
  </mergeCells>
  <printOptions horizontalCentered="1"/>
  <pageMargins left="0.9055118110236221" right="0.51181102362204722" top="0.74803149606299213" bottom="0.74803149606299213" header="0.31496062992125984" footer="0.31496062992125984"/>
  <pageSetup paperSize="9" orientation="portrait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D25" sqref="D25"/>
    </sheetView>
  </sheetViews>
  <sheetFormatPr defaultRowHeight="12.75" x14ac:dyDescent="0.2"/>
  <cols>
    <col min="1" max="1" width="56.85546875" style="1" customWidth="1"/>
    <col min="2" max="3" width="9.140625" style="1"/>
    <col min="4" max="4" width="12.85546875" style="1" bestFit="1" customWidth="1"/>
    <col min="5" max="16384" width="9.140625" style="1"/>
  </cols>
  <sheetData>
    <row r="1" spans="1:1" s="142" customFormat="1" ht="22.5" customHeight="1" x14ac:dyDescent="0.2">
      <c r="A1" s="279" t="s">
        <v>229</v>
      </c>
    </row>
    <row r="2" spans="1:1" s="142" customFormat="1" ht="13.5" customHeight="1" x14ac:dyDescent="0.25">
      <c r="A2" s="278"/>
    </row>
    <row r="3" spans="1:1" s="142" customFormat="1" ht="13.5" customHeight="1" thickBot="1" x14ac:dyDescent="0.3">
      <c r="A3" s="277"/>
    </row>
    <row r="4" spans="1:1" s="142" customFormat="1" ht="13.5" customHeight="1" x14ac:dyDescent="0.2">
      <c r="A4" s="275"/>
    </row>
    <row r="5" spans="1:1" ht="13.5" customHeight="1" x14ac:dyDescent="0.2">
      <c r="A5" s="272" t="s">
        <v>241</v>
      </c>
    </row>
    <row r="6" spans="1:1" ht="13.5" customHeight="1" x14ac:dyDescent="0.2">
      <c r="A6" s="272"/>
    </row>
    <row r="7" spans="1:1" ht="13.5" customHeight="1" x14ac:dyDescent="0.2">
      <c r="A7" s="272"/>
    </row>
    <row r="8" spans="1:1" ht="13.5" customHeight="1" x14ac:dyDescent="0.2">
      <c r="A8" s="272"/>
    </row>
    <row r="9" spans="1:1" ht="13.5" customHeight="1" x14ac:dyDescent="0.2">
      <c r="A9" s="272"/>
    </row>
    <row r="10" spans="1:1" ht="13.5" customHeight="1" x14ac:dyDescent="0.2">
      <c r="A10" s="272"/>
    </row>
    <row r="11" spans="1:1" ht="13.5" customHeight="1" x14ac:dyDescent="0.2">
      <c r="A11" s="272"/>
    </row>
    <row r="12" spans="1:1" ht="13.5" customHeight="1" x14ac:dyDescent="0.2">
      <c r="A12" s="272"/>
    </row>
    <row r="13" spans="1:1" ht="13.5" customHeight="1" x14ac:dyDescent="0.2">
      <c r="A13" s="272"/>
    </row>
    <row r="14" spans="1:1" ht="13.5" customHeight="1" x14ac:dyDescent="0.3">
      <c r="A14" s="273" t="s">
        <v>333</v>
      </c>
    </row>
    <row r="15" spans="1:1" ht="13.5" customHeight="1" x14ac:dyDescent="0.2">
      <c r="A15" s="273" t="s">
        <v>105</v>
      </c>
    </row>
    <row r="16" spans="1:1" ht="13.5" customHeight="1" x14ac:dyDescent="0.2">
      <c r="A16" s="273" t="s">
        <v>110</v>
      </c>
    </row>
    <row r="17" spans="1:1" ht="13.5" customHeight="1" x14ac:dyDescent="0.3">
      <c r="A17" s="273" t="s">
        <v>334</v>
      </c>
    </row>
    <row r="18" spans="1:1" ht="13.5" customHeight="1" x14ac:dyDescent="0.3">
      <c r="A18" s="273" t="s">
        <v>335</v>
      </c>
    </row>
    <row r="19" spans="1:1" ht="13.5" customHeight="1" x14ac:dyDescent="0.2">
      <c r="A19" s="273" t="s">
        <v>106</v>
      </c>
    </row>
    <row r="20" spans="1:1" ht="13.5" customHeight="1" thickBot="1" x14ac:dyDescent="0.25">
      <c r="A20" s="274"/>
    </row>
  </sheetData>
  <printOptions horizontalCentered="1"/>
  <pageMargins left="0.9055118110236221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7"/>
  <sheetViews>
    <sheetView zoomScaleNormal="100" workbookViewId="0">
      <selection activeCell="C37" sqref="A1:C37"/>
    </sheetView>
  </sheetViews>
  <sheetFormatPr defaultRowHeight="12.75" x14ac:dyDescent="0.2"/>
  <cols>
    <col min="1" max="1" width="58.28515625" style="185" customWidth="1"/>
    <col min="2" max="2" width="11.140625" style="185" bestFit="1" customWidth="1"/>
    <col min="3" max="3" width="11.28515625" style="185" bestFit="1" customWidth="1"/>
    <col min="4" max="16384" width="9.140625" style="185"/>
  </cols>
  <sheetData>
    <row r="1" spans="1:3" ht="22.5" customHeight="1" x14ac:dyDescent="0.2">
      <c r="A1" s="433" t="s">
        <v>267</v>
      </c>
      <c r="B1" s="434"/>
      <c r="C1" s="435"/>
    </row>
    <row r="2" spans="1:3" ht="13.5" customHeight="1" x14ac:dyDescent="0.25">
      <c r="A2" s="215"/>
      <c r="B2" s="215"/>
      <c r="C2" s="215"/>
    </row>
    <row r="3" spans="1:3" s="190" customFormat="1" ht="13.5" customHeight="1" x14ac:dyDescent="0.2">
      <c r="A3" s="253"/>
      <c r="B3" s="253"/>
      <c r="C3" s="253"/>
    </row>
    <row r="4" spans="1:3" ht="15.75" x14ac:dyDescent="0.25">
      <c r="A4" s="432" t="s">
        <v>281</v>
      </c>
      <c r="B4" s="432"/>
      <c r="C4" s="432"/>
    </row>
    <row r="5" spans="1:3" ht="13.5" customHeight="1" thickBot="1" x14ac:dyDescent="0.3">
      <c r="A5" s="232"/>
      <c r="B5" s="232"/>
      <c r="C5" s="232"/>
    </row>
    <row r="6" spans="1:3" ht="13.5" customHeight="1" thickBot="1" x14ac:dyDescent="0.25">
      <c r="A6" s="378" t="s">
        <v>268</v>
      </c>
      <c r="B6" s="379" t="s">
        <v>62</v>
      </c>
      <c r="C6" s="380" t="s">
        <v>141</v>
      </c>
    </row>
    <row r="7" spans="1:3" ht="13.5" customHeight="1" x14ac:dyDescent="0.2">
      <c r="A7" s="264" t="s">
        <v>256</v>
      </c>
      <c r="B7" s="266" t="s">
        <v>249</v>
      </c>
      <c r="C7" s="265">
        <v>10744</v>
      </c>
    </row>
    <row r="8" spans="1:3" ht="13.5" customHeight="1" x14ac:dyDescent="0.2">
      <c r="A8" s="256" t="s">
        <v>257</v>
      </c>
      <c r="B8" s="267" t="s">
        <v>254</v>
      </c>
      <c r="C8" s="257">
        <v>0.56122799999999995</v>
      </c>
    </row>
    <row r="9" spans="1:3" ht="13.5" customHeight="1" x14ac:dyDescent="0.2">
      <c r="A9" s="256" t="s">
        <v>258</v>
      </c>
      <c r="B9" s="267" t="s">
        <v>255</v>
      </c>
      <c r="C9" s="258">
        <f>C7*C8/1000</f>
        <v>6.0298336319999999</v>
      </c>
    </row>
    <row r="10" spans="1:3" ht="13.5" customHeight="1" x14ac:dyDescent="0.2">
      <c r="A10" s="256" t="s">
        <v>264</v>
      </c>
      <c r="B10" s="267" t="s">
        <v>250</v>
      </c>
      <c r="C10" s="259">
        <f>(C9*30)</f>
        <v>180.89500895999998</v>
      </c>
    </row>
    <row r="11" spans="1:3" ht="13.5" customHeight="1" x14ac:dyDescent="0.2">
      <c r="A11" s="256" t="s">
        <v>260</v>
      </c>
      <c r="B11" s="267" t="s">
        <v>92</v>
      </c>
      <c r="C11" s="260">
        <v>6</v>
      </c>
    </row>
    <row r="12" spans="1:3" ht="13.5" customHeight="1" x14ac:dyDescent="0.2">
      <c r="A12" s="256" t="s">
        <v>259</v>
      </c>
      <c r="B12" s="267" t="s">
        <v>255</v>
      </c>
      <c r="C12" s="258">
        <f>IFERROR(C9*7/C11,0)</f>
        <v>7.0348059039999997</v>
      </c>
    </row>
    <row r="13" spans="1:3" ht="13.5" customHeight="1" x14ac:dyDescent="0.2">
      <c r="A13" s="254" t="s">
        <v>251</v>
      </c>
      <c r="B13" s="267" t="s">
        <v>252</v>
      </c>
      <c r="C13" s="261">
        <v>500</v>
      </c>
    </row>
    <row r="14" spans="1:3" ht="13.5" customHeight="1" x14ac:dyDescent="0.2">
      <c r="A14" s="256" t="s">
        <v>265</v>
      </c>
      <c r="B14" s="267" t="s">
        <v>332</v>
      </c>
      <c r="C14" s="255">
        <v>2</v>
      </c>
    </row>
    <row r="15" spans="1:3" ht="13.5" customHeight="1" x14ac:dyDescent="0.2">
      <c r="A15" s="254" t="s">
        <v>266</v>
      </c>
      <c r="B15" s="267" t="s">
        <v>253</v>
      </c>
      <c r="C15" s="255">
        <v>15</v>
      </c>
    </row>
    <row r="16" spans="1:3" ht="13.5" customHeight="1" x14ac:dyDescent="0.2">
      <c r="A16" s="256" t="s">
        <v>261</v>
      </c>
      <c r="B16" s="267" t="s">
        <v>250</v>
      </c>
      <c r="C16" s="261">
        <f>IF(AND(C15&gt;=15,C14=1),5.8,C15/2)</f>
        <v>7.5</v>
      </c>
    </row>
    <row r="17" spans="1:3" ht="13.5" customHeight="1" x14ac:dyDescent="0.2">
      <c r="A17" s="254" t="s">
        <v>262</v>
      </c>
      <c r="B17" s="267" t="s">
        <v>332</v>
      </c>
      <c r="C17" s="258">
        <f>IFERROR(C12/C16,0)</f>
        <v>0.93797412053333329</v>
      </c>
    </row>
    <row r="18" spans="1:3" ht="13.5" customHeight="1" x14ac:dyDescent="0.2">
      <c r="A18" s="254" t="s">
        <v>269</v>
      </c>
      <c r="B18" s="267" t="s">
        <v>332</v>
      </c>
      <c r="C18" s="262">
        <v>1</v>
      </c>
    </row>
    <row r="19" spans="1:3" ht="13.5" customHeight="1" thickBot="1" x14ac:dyDescent="0.25">
      <c r="A19" s="263" t="s">
        <v>263</v>
      </c>
      <c r="B19" s="268" t="s">
        <v>332</v>
      </c>
      <c r="C19" s="389">
        <f>IFERROR(C17/C18,0)</f>
        <v>0.93797412053333329</v>
      </c>
    </row>
    <row r="20" spans="1:3" ht="13.5" customHeight="1" x14ac:dyDescent="0.2"/>
    <row r="21" spans="1:3" ht="13.5" customHeight="1" x14ac:dyDescent="0.2"/>
    <row r="22" spans="1:3" ht="15.75" x14ac:dyDescent="0.25">
      <c r="A22" s="432" t="s">
        <v>282</v>
      </c>
      <c r="B22" s="432"/>
      <c r="C22" s="432"/>
    </row>
    <row r="23" spans="1:3" ht="13.5" customHeight="1" thickBot="1" x14ac:dyDescent="0.3">
      <c r="A23" s="232"/>
      <c r="B23" s="232"/>
      <c r="C23" s="232"/>
    </row>
    <row r="24" spans="1:3" ht="13.5" customHeight="1" thickBot="1" x14ac:dyDescent="0.25">
      <c r="A24" s="381" t="s">
        <v>268</v>
      </c>
      <c r="B24" s="382" t="s">
        <v>248</v>
      </c>
      <c r="C24" s="383" t="s">
        <v>141</v>
      </c>
    </row>
    <row r="25" spans="1:3" ht="13.5" customHeight="1" x14ac:dyDescent="0.2">
      <c r="A25" s="269" t="s">
        <v>256</v>
      </c>
      <c r="B25" s="271" t="s">
        <v>249</v>
      </c>
      <c r="C25" s="270">
        <v>6318</v>
      </c>
    </row>
    <row r="26" spans="1:3" ht="13.5" customHeight="1" x14ac:dyDescent="0.2">
      <c r="A26" s="256" t="s">
        <v>257</v>
      </c>
      <c r="B26" s="267" t="s">
        <v>254</v>
      </c>
      <c r="C26" s="257">
        <f>C8</f>
        <v>0.56122799999999995</v>
      </c>
    </row>
    <row r="27" spans="1:3" ht="13.5" customHeight="1" x14ac:dyDescent="0.2">
      <c r="A27" s="256" t="s">
        <v>258</v>
      </c>
      <c r="B27" s="267" t="s">
        <v>255</v>
      </c>
      <c r="C27" s="258">
        <f>C25*C26/1000</f>
        <v>3.5458385039999998</v>
      </c>
    </row>
    <row r="28" spans="1:3" ht="13.5" customHeight="1" x14ac:dyDescent="0.2">
      <c r="A28" s="256" t="s">
        <v>264</v>
      </c>
      <c r="B28" s="267" t="s">
        <v>250</v>
      </c>
      <c r="C28" s="259">
        <f>(C27*30)</f>
        <v>106.37515511999999</v>
      </c>
    </row>
    <row r="29" spans="1:3" ht="13.5" customHeight="1" x14ac:dyDescent="0.2">
      <c r="A29" s="256" t="s">
        <v>260</v>
      </c>
      <c r="B29" s="267" t="s">
        <v>92</v>
      </c>
      <c r="C29" s="260">
        <v>6</v>
      </c>
    </row>
    <row r="30" spans="1:3" ht="13.5" customHeight="1" x14ac:dyDescent="0.2">
      <c r="A30" s="256" t="s">
        <v>259</v>
      </c>
      <c r="B30" s="267" t="s">
        <v>255</v>
      </c>
      <c r="C30" s="258">
        <f>IFERROR(C27*7/C29,0)</f>
        <v>4.1368115879999996</v>
      </c>
    </row>
    <row r="31" spans="1:3" ht="13.5" customHeight="1" x14ac:dyDescent="0.2">
      <c r="A31" s="254" t="s">
        <v>251</v>
      </c>
      <c r="B31" s="267" t="s">
        <v>252</v>
      </c>
      <c r="C31" s="261">
        <v>500</v>
      </c>
    </row>
    <row r="32" spans="1:3" ht="13.5" customHeight="1" x14ac:dyDescent="0.2">
      <c r="A32" s="256" t="s">
        <v>265</v>
      </c>
      <c r="B32" s="267" t="s">
        <v>332</v>
      </c>
      <c r="C32" s="255">
        <v>2</v>
      </c>
    </row>
    <row r="33" spans="1:3" ht="13.5" customHeight="1" x14ac:dyDescent="0.2">
      <c r="A33" s="254" t="s">
        <v>266</v>
      </c>
      <c r="B33" s="267" t="s">
        <v>253</v>
      </c>
      <c r="C33" s="255">
        <v>19</v>
      </c>
    </row>
    <row r="34" spans="1:3" ht="13.5" customHeight="1" x14ac:dyDescent="0.2">
      <c r="A34" s="256" t="s">
        <v>261</v>
      </c>
      <c r="B34" s="267" t="s">
        <v>250</v>
      </c>
      <c r="C34" s="261">
        <f>IF(AND(C33&gt;=15,C32=1),5.8,C33/2)</f>
        <v>9.5</v>
      </c>
    </row>
    <row r="35" spans="1:3" ht="13.5" customHeight="1" x14ac:dyDescent="0.2">
      <c r="A35" s="254" t="s">
        <v>262</v>
      </c>
      <c r="B35" s="267" t="s">
        <v>332</v>
      </c>
      <c r="C35" s="258">
        <f>IFERROR(C30/C34,0)</f>
        <v>0.43545385136842102</v>
      </c>
    </row>
    <row r="36" spans="1:3" ht="13.5" customHeight="1" x14ac:dyDescent="0.2">
      <c r="A36" s="254" t="s">
        <v>269</v>
      </c>
      <c r="B36" s="267" t="s">
        <v>332</v>
      </c>
      <c r="C36" s="262">
        <v>1</v>
      </c>
    </row>
    <row r="37" spans="1:3" ht="13.5" customHeight="1" thickBot="1" x14ac:dyDescent="0.25">
      <c r="A37" s="263" t="s">
        <v>263</v>
      </c>
      <c r="B37" s="268" t="s">
        <v>332</v>
      </c>
      <c r="C37" s="389">
        <f>IFERROR(C35/C36,0)</f>
        <v>0.43545385136842102</v>
      </c>
    </row>
  </sheetData>
  <mergeCells count="3">
    <mergeCell ref="A4:C4"/>
    <mergeCell ref="A22:C22"/>
    <mergeCell ref="A1:C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9" sqref="B29"/>
    </sheetView>
  </sheetViews>
  <sheetFormatPr defaultRowHeight="12.75" x14ac:dyDescent="0.2"/>
  <cols>
    <col min="1" max="1" width="22.5703125" style="233" customWidth="1"/>
    <col min="2" max="2" width="13.42578125" style="243" customWidth="1"/>
    <col min="3" max="3" width="16.5703125" style="243" customWidth="1"/>
    <col min="4" max="4" width="17.42578125" style="243" customWidth="1"/>
    <col min="5" max="5" width="18.28515625" style="244" customWidth="1"/>
    <col min="6" max="16384" width="9.140625" style="233"/>
  </cols>
  <sheetData>
    <row r="1" spans="1:5" ht="22.5" customHeight="1" x14ac:dyDescent="0.2">
      <c r="A1" s="436" t="s">
        <v>326</v>
      </c>
      <c r="B1" s="437"/>
      <c r="C1" s="437"/>
      <c r="D1" s="437"/>
      <c r="E1" s="437"/>
    </row>
    <row r="2" spans="1:5" ht="13.5" customHeight="1" x14ac:dyDescent="0.2">
      <c r="A2" s="393"/>
      <c r="B2" s="235"/>
      <c r="C2" s="235"/>
      <c r="D2" s="235"/>
      <c r="E2" s="235"/>
    </row>
    <row r="3" spans="1:5" ht="13.5" customHeight="1" thickBot="1" x14ac:dyDescent="0.25">
      <c r="A3" s="403"/>
      <c r="B3" s="239"/>
      <c r="C3" s="239"/>
      <c r="D3" s="240"/>
      <c r="E3" s="241"/>
    </row>
    <row r="4" spans="1:5" ht="26.25" thickBot="1" x14ac:dyDescent="0.25">
      <c r="A4" s="384" t="s">
        <v>200</v>
      </c>
      <c r="B4" s="385" t="s">
        <v>62</v>
      </c>
      <c r="C4" s="392" t="s">
        <v>336</v>
      </c>
      <c r="D4" s="385" t="s">
        <v>327</v>
      </c>
      <c r="E4" s="386" t="s">
        <v>330</v>
      </c>
    </row>
    <row r="5" spans="1:5" s="236" customFormat="1" x14ac:dyDescent="0.2">
      <c r="A5" s="245" t="s">
        <v>324</v>
      </c>
      <c r="B5" s="246" t="s">
        <v>328</v>
      </c>
      <c r="C5" s="246">
        <f>'1. Coleta Domiciliar_manual'!D251</f>
        <v>180.89500895999998</v>
      </c>
      <c r="D5" s="247">
        <f>'1. Coleta Domiciliar_manual'!F253</f>
        <v>218.70665842909946</v>
      </c>
      <c r="E5" s="248">
        <f>'1. Coleta Domiciliar_manual'!F249</f>
        <v>39562.942936143605</v>
      </c>
    </row>
    <row r="6" spans="1:5" s="236" customFormat="1" ht="13.5" thickBot="1" x14ac:dyDescent="0.25">
      <c r="A6" s="249" t="s">
        <v>325</v>
      </c>
      <c r="B6" s="250" t="s">
        <v>329</v>
      </c>
      <c r="C6" s="250">
        <f>'1. Coleta Domiciliar_automat.'!D405</f>
        <v>150</v>
      </c>
      <c r="D6" s="251">
        <f>'1. Coleta Domiciliar_automat.'!F407</f>
        <v>389.06729033640312</v>
      </c>
      <c r="E6" s="252">
        <f>'1. Coleta Domiciliar_automat.'!F403</f>
        <v>58360.093550460471</v>
      </c>
    </row>
    <row r="7" spans="1:5" s="236" customFormat="1" ht="13.5" thickBot="1" x14ac:dyDescent="0.25">
      <c r="B7" s="242"/>
      <c r="C7" s="242"/>
      <c r="D7" s="387" t="s">
        <v>331</v>
      </c>
      <c r="E7" s="388">
        <f>SUM(E5:E6)</f>
        <v>97923.036486604076</v>
      </c>
    </row>
  </sheetData>
  <mergeCells count="1">
    <mergeCell ref="A1:E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1. Coleta Domiciliar_manual</vt:lpstr>
      <vt:lpstr>1. Coleta Domiciliar_automat.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8. Valor total</vt:lpstr>
      <vt:lpstr>AbaDeprec</vt:lpstr>
      <vt:lpstr>AbaRemun</vt:lpstr>
      <vt:lpstr>'1. Coleta Domiciliar_automat.'!Area_de_impressao</vt:lpstr>
      <vt:lpstr>'1. Coleta Domiciliar_manual'!Area_de_impressao</vt:lpstr>
      <vt:lpstr>'2.Encargos Sociais'!Area_de_impressao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Cristina Alves Nascimento</cp:lastModifiedBy>
  <cp:lastPrinted>2018-12-03T17:12:10Z</cp:lastPrinted>
  <dcterms:created xsi:type="dcterms:W3CDTF">2000-12-13T10:02:50Z</dcterms:created>
  <dcterms:modified xsi:type="dcterms:W3CDTF">2018-12-03T17:18:55Z</dcterms:modified>
</cp:coreProperties>
</file>