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Educação - PMSJ\Desktop\ESCOLAS\CIDADE\EMEF JOÃO CERNICCHIARO\REFORMA\DOCUMENTOS\"/>
    </mc:Choice>
  </mc:AlternateContent>
  <bookViews>
    <workbookView xWindow="0" yWindow="0" windowWidth="20460" windowHeight="7230" tabRatio="852" activeTab="4"/>
  </bookViews>
  <sheets>
    <sheet name="ANEXO 01-ORÇAMENTO" sheetId="18" r:id="rId1"/>
    <sheet name="ANEXO 02-BDI" sheetId="15" r:id="rId2"/>
    <sheet name="ANEXO 03-CRONOGRAMA" sheetId="20" r:id="rId3"/>
    <sheet name="ANEXO 04- ENCARGOS SOCIAIS" sheetId="21" r:id="rId4"/>
    <sheet name="ANEXO 05- ITENS RELEVANTES" sheetId="22" r:id="rId5"/>
    <sheet name="Plan4" sheetId="14" state="hidden" r:id="rId6"/>
  </sheets>
  <externalReferences>
    <externalReference r:id="rId7"/>
    <externalReference r:id="rId8"/>
  </externalReferences>
  <definedNames>
    <definedName name="_xlnm.Print_Area" localSheetId="0">'ANEXO 01-ORÇAMENTO'!$A$1:$J$367</definedName>
    <definedName name="_xlnm.Print_Area" localSheetId="1">'ANEXO 02-BDI'!$A$1:$T$34</definedName>
    <definedName name="_xlnm.Print_Area" localSheetId="2">'ANEXO 03-CRONOGRAMA'!$A$1:$M$80</definedName>
    <definedName name="_xlnm.Print_Area" localSheetId="4">'ANEXO 05- ITENS RELEVANTES'!$A$1:$E$40</definedName>
    <definedName name="_xlnm.Print_Titles" localSheetId="0">'ANEXO 01-ORÇAMENTO'!$16:$16</definedName>
    <definedName name="_xlnm.Print_Titles" localSheetId="2">'ANEXO 03-CRONOGRAMA'!$9:$9</definedName>
  </definedNames>
  <calcPr calcId="152511" fullPrecision="0"/>
</workbook>
</file>

<file path=xl/calcChain.xml><?xml version="1.0" encoding="utf-8"?>
<calcChain xmlns="http://schemas.openxmlformats.org/spreadsheetml/2006/main">
  <c r="K359" i="18" l="1"/>
  <c r="K358" i="18"/>
  <c r="K357" i="18"/>
  <c r="K356" i="18"/>
  <c r="K355" i="18"/>
  <c r="K354" i="18"/>
  <c r="K353" i="18"/>
  <c r="K352" i="18"/>
  <c r="K351" i="18"/>
  <c r="K350" i="18"/>
  <c r="K348" i="18"/>
  <c r="K347" i="18"/>
  <c r="K345" i="18"/>
  <c r="K344" i="18"/>
  <c r="K343" i="18"/>
  <c r="K342" i="18"/>
  <c r="K340" i="18"/>
  <c r="K341" i="18"/>
  <c r="K339" i="18"/>
  <c r="K338" i="18"/>
  <c r="K337" i="18"/>
  <c r="K336" i="18"/>
  <c r="K334" i="18"/>
  <c r="K333" i="18"/>
  <c r="K331" i="18"/>
  <c r="K330" i="18"/>
  <c r="K329" i="18"/>
  <c r="K328" i="18"/>
  <c r="K326" i="18"/>
  <c r="K325" i="18"/>
  <c r="K324" i="18"/>
  <c r="K323" i="18"/>
  <c r="K322" i="18"/>
  <c r="K321" i="18"/>
  <c r="K319" i="18"/>
  <c r="K318" i="18"/>
  <c r="K317" i="18"/>
  <c r="K315" i="18"/>
  <c r="K314" i="18"/>
  <c r="K313" i="18"/>
  <c r="K312" i="18"/>
  <c r="K311" i="18"/>
  <c r="K310" i="18"/>
  <c r="K309" i="18"/>
  <c r="K307" i="18"/>
  <c r="K306" i="18"/>
  <c r="K304" i="18"/>
  <c r="K303" i="18"/>
  <c r="K301" i="18"/>
  <c r="K300" i="18"/>
  <c r="K299" i="18"/>
  <c r="K298" i="18"/>
  <c r="K297" i="18"/>
  <c r="K296" i="18"/>
  <c r="K295" i="18"/>
  <c r="K294" i="18"/>
  <c r="K293" i="18"/>
  <c r="K291" i="18"/>
  <c r="K290" i="18"/>
  <c r="K289" i="18"/>
  <c r="K287" i="18"/>
  <c r="K286" i="18"/>
  <c r="K285" i="18"/>
  <c r="K284" i="18"/>
  <c r="K281" i="18"/>
  <c r="K280" i="18"/>
  <c r="K279" i="18"/>
  <c r="K278" i="18"/>
  <c r="K277" i="18"/>
  <c r="K276" i="18"/>
  <c r="K275" i="18"/>
  <c r="K274" i="18"/>
  <c r="K273" i="18"/>
  <c r="K272" i="18"/>
  <c r="K271" i="18"/>
  <c r="K270" i="18"/>
  <c r="K269" i="18"/>
  <c r="K268" i="18"/>
  <c r="K266" i="18"/>
  <c r="K265" i="18"/>
  <c r="K264" i="18"/>
  <c r="K263" i="18"/>
  <c r="K261" i="18"/>
  <c r="K260" i="18"/>
  <c r="K259" i="18"/>
  <c r="K258" i="18"/>
  <c r="K257" i="18"/>
  <c r="K256" i="18"/>
  <c r="K255" i="18"/>
  <c r="K254" i="18"/>
  <c r="K253" i="18"/>
  <c r="K252" i="18"/>
  <c r="K251" i="18"/>
  <c r="K250" i="18"/>
  <c r="K248" i="18"/>
  <c r="K247" i="18"/>
  <c r="K246" i="18"/>
  <c r="K245" i="18"/>
  <c r="K244" i="18"/>
  <c r="K243" i="18"/>
  <c r="K242" i="18"/>
  <c r="K241" i="18"/>
  <c r="K240" i="18"/>
  <c r="K239" i="18"/>
  <c r="K237" i="18"/>
  <c r="K236" i="18"/>
  <c r="K235" i="18"/>
  <c r="J235" i="18"/>
  <c r="I235" i="18"/>
  <c r="I234" i="18"/>
  <c r="K234" i="18"/>
  <c r="K233" i="18"/>
  <c r="K232" i="18"/>
  <c r="K231" i="18"/>
  <c r="K230" i="18"/>
  <c r="K229" i="18"/>
  <c r="K228" i="18"/>
  <c r="K227" i="18"/>
  <c r="K226" i="18"/>
  <c r="K225" i="18"/>
  <c r="K224" i="18"/>
  <c r="K223" i="18"/>
  <c r="K222" i="18"/>
  <c r="K221" i="18"/>
  <c r="K220" i="18"/>
  <c r="K219" i="18"/>
  <c r="K218" i="18"/>
  <c r="K216" i="18"/>
  <c r="K215" i="18"/>
  <c r="K214" i="18"/>
  <c r="K213" i="18"/>
  <c r="K212" i="18"/>
  <c r="K211" i="18"/>
  <c r="K210" i="18"/>
  <c r="K209" i="18"/>
  <c r="K208" i="18"/>
  <c r="K207" i="18"/>
  <c r="K206" i="18"/>
  <c r="K205" i="18"/>
  <c r="K204" i="18"/>
  <c r="K203" i="18"/>
  <c r="K202" i="18"/>
  <c r="K201" i="18"/>
  <c r="K200" i="18"/>
  <c r="K199" i="18"/>
  <c r="K197" i="18"/>
  <c r="K196" i="18"/>
  <c r="K195" i="18"/>
  <c r="K194" i="18"/>
  <c r="K193" i="18"/>
  <c r="K192" i="18"/>
  <c r="K191" i="18"/>
  <c r="K190" i="18"/>
  <c r="K189" i="18"/>
  <c r="K187" i="18"/>
  <c r="K186" i="18"/>
  <c r="K185" i="18"/>
  <c r="J183" i="18"/>
  <c r="I183" i="18"/>
  <c r="H183" i="18"/>
  <c r="K183" i="18"/>
  <c r="K182" i="18"/>
  <c r="K181" i="18"/>
  <c r="K180" i="18"/>
  <c r="K177" i="18"/>
  <c r="K176" i="18"/>
  <c r="K175" i="18"/>
  <c r="K174" i="18"/>
  <c r="K173" i="18"/>
  <c r="J173" i="18"/>
  <c r="I173" i="18"/>
  <c r="I171" i="18"/>
  <c r="I172" i="18"/>
  <c r="K172" i="18" s="1"/>
  <c r="K171" i="18"/>
  <c r="K170" i="18"/>
  <c r="K169" i="18"/>
  <c r="K168" i="18"/>
  <c r="K167" i="18"/>
  <c r="K166" i="18"/>
  <c r="K165" i="18"/>
  <c r="K163" i="18"/>
  <c r="K162" i="18"/>
  <c r="K161" i="18"/>
  <c r="K160" i="18"/>
  <c r="K159" i="18"/>
  <c r="K158" i="18"/>
  <c r="K157" i="18"/>
  <c r="K155" i="18"/>
  <c r="K154" i="18"/>
  <c r="K153" i="18"/>
  <c r="K152" i="18"/>
  <c r="K151" i="18"/>
  <c r="K150" i="18"/>
  <c r="K149" i="18"/>
  <c r="K148" i="18"/>
  <c r="K147" i="18"/>
  <c r="K146" i="18"/>
  <c r="K145" i="18"/>
  <c r="K144" i="18"/>
  <c r="K143" i="18"/>
  <c r="K142" i="18"/>
  <c r="K141" i="18"/>
  <c r="K140" i="18"/>
  <c r="K137" i="18"/>
  <c r="K136" i="18"/>
  <c r="K135" i="18"/>
  <c r="J136" i="18"/>
  <c r="I136" i="18"/>
  <c r="J135" i="18"/>
  <c r="I135" i="18"/>
  <c r="I127" i="18"/>
  <c r="I126" i="18"/>
  <c r="I128" i="18"/>
  <c r="K128" i="18" s="1"/>
  <c r="I134" i="18"/>
  <c r="K134" i="18"/>
  <c r="K133" i="18"/>
  <c r="K132" i="18"/>
  <c r="K131" i="18"/>
  <c r="K130" i="18"/>
  <c r="K127" i="18"/>
  <c r="K126" i="18"/>
  <c r="K125" i="18"/>
  <c r="K124" i="18"/>
  <c r="K123" i="18"/>
  <c r="K121" i="18"/>
  <c r="K120" i="18"/>
  <c r="K119" i="18"/>
  <c r="K118" i="18"/>
  <c r="K117" i="18"/>
  <c r="K116" i="18"/>
  <c r="K115" i="18"/>
  <c r="K114" i="18"/>
  <c r="K113" i="18"/>
  <c r="K111" i="18"/>
  <c r="K110" i="18"/>
  <c r="K109" i="18"/>
  <c r="K107" i="18"/>
  <c r="K106" i="18"/>
  <c r="K105" i="18"/>
  <c r="K104" i="18"/>
  <c r="K101" i="18"/>
  <c r="K100" i="18"/>
  <c r="K99" i="18"/>
  <c r="K98" i="18"/>
  <c r="K97" i="18"/>
  <c r="K96" i="18"/>
  <c r="K95" i="18"/>
  <c r="K94" i="18"/>
  <c r="K93" i="18"/>
  <c r="K91" i="18"/>
  <c r="K90" i="18"/>
  <c r="K89" i="18"/>
  <c r="K88" i="18"/>
  <c r="K87" i="18"/>
  <c r="K85" i="18"/>
  <c r="K84" i="18"/>
  <c r="K83" i="18"/>
  <c r="K82" i="18"/>
  <c r="K81" i="18"/>
  <c r="K78" i="18"/>
  <c r="K77" i="18"/>
  <c r="K76" i="18"/>
  <c r="K75" i="18"/>
  <c r="K74" i="18"/>
  <c r="K73" i="18"/>
  <c r="K72" i="18"/>
  <c r="K71" i="18"/>
  <c r="K70" i="18"/>
  <c r="K69" i="18"/>
  <c r="K67" i="18"/>
  <c r="K66" i="18"/>
  <c r="K64" i="18"/>
  <c r="K63" i="18"/>
  <c r="K62" i="18"/>
  <c r="K61" i="18"/>
  <c r="K60" i="18"/>
  <c r="K59" i="18"/>
  <c r="K57" i="18"/>
  <c r="K56" i="18"/>
  <c r="K55" i="18"/>
  <c r="K54" i="18"/>
  <c r="K53" i="18"/>
  <c r="K52" i="18"/>
  <c r="K51" i="18"/>
  <c r="K49" i="18"/>
  <c r="K48" i="18"/>
  <c r="K47" i="18"/>
  <c r="K46" i="18"/>
  <c r="K43" i="18"/>
  <c r="K42" i="18"/>
  <c r="K41" i="18"/>
  <c r="K40" i="18"/>
  <c r="K38" i="18"/>
  <c r="K37" i="18"/>
  <c r="K36" i="18"/>
  <c r="K35" i="18"/>
  <c r="K34" i="18"/>
  <c r="K32" i="18"/>
  <c r="K31" i="18"/>
  <c r="K30" i="18"/>
  <c r="K29" i="18"/>
  <c r="K28" i="18"/>
  <c r="J28" i="18"/>
  <c r="J27" i="18"/>
  <c r="I28" i="18"/>
  <c r="K27" i="18"/>
  <c r="K26" i="18"/>
  <c r="K25" i="18"/>
  <c r="K22" i="18"/>
  <c r="K21" i="18"/>
  <c r="K20" i="18"/>
  <c r="K19" i="18"/>
  <c r="M28" i="20" l="1"/>
  <c r="M62" i="20" s="1"/>
  <c r="M33" i="20"/>
  <c r="H33" i="20"/>
  <c r="H330" i="18"/>
  <c r="H331" i="18"/>
  <c r="H334" i="18"/>
  <c r="H344" i="18"/>
  <c r="C51" i="20"/>
  <c r="C62" i="20" s="1"/>
  <c r="J46" i="20"/>
  <c r="L62" i="20"/>
  <c r="K62" i="20"/>
  <c r="I62" i="20"/>
  <c r="G28" i="20"/>
  <c r="G62" i="20" s="1"/>
  <c r="F18" i="20"/>
  <c r="F62" i="20" s="1"/>
  <c r="G18" i="20"/>
  <c r="E18" i="20"/>
  <c r="F13" i="20"/>
  <c r="E13" i="20"/>
  <c r="E62" i="20" s="1"/>
  <c r="J38" i="20"/>
  <c r="I38" i="20"/>
  <c r="J62" i="20" l="1"/>
  <c r="H23" i="20" l="1"/>
  <c r="M55" i="20" l="1"/>
  <c r="H58" i="20" l="1"/>
  <c r="M58" i="20" s="1"/>
  <c r="H51" i="20"/>
  <c r="M51" i="20" s="1"/>
  <c r="H46" i="20"/>
  <c r="H42" i="20"/>
  <c r="M42" i="20" s="1"/>
  <c r="H38" i="20"/>
  <c r="M38" i="20" s="1"/>
  <c r="M18" i="20"/>
  <c r="M46" i="20" l="1"/>
  <c r="H62" i="20"/>
  <c r="M13" i="20"/>
  <c r="M23" i="20"/>
  <c r="D13" i="20"/>
  <c r="D58" i="20"/>
  <c r="D46" i="20"/>
  <c r="D42" i="20"/>
  <c r="D28" i="20"/>
  <c r="D23" i="20"/>
  <c r="D38" i="20"/>
  <c r="D18" i="20"/>
  <c r="D51" i="20"/>
  <c r="D33" i="20"/>
  <c r="D55" i="20" l="1"/>
  <c r="D62" i="20" s="1"/>
  <c r="B16" i="22" l="1"/>
  <c r="A5" i="22" l="1"/>
  <c r="A6" i="22"/>
  <c r="A7" i="22"/>
  <c r="A9" i="22"/>
  <c r="I59" i="21" l="1"/>
  <c r="I33" i="15" l="1"/>
  <c r="A7" i="21" l="1"/>
  <c r="A6" i="21"/>
  <c r="A5" i="21"/>
  <c r="I61" i="21"/>
  <c r="I62" i="21"/>
  <c r="A57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0" l="1"/>
  <c r="A7" i="20"/>
  <c r="A6" i="20"/>
  <c r="A5" i="20"/>
  <c r="A7" i="15" l="1"/>
  <c r="A5" i="15"/>
  <c r="A29" i="15" l="1"/>
  <c r="L20" i="15" l="1"/>
  <c r="O20" i="15"/>
  <c r="R20" i="15"/>
  <c r="A6" i="15" l="1"/>
  <c r="F22" i="15" l="1"/>
  <c r="E9" i="18" s="1"/>
  <c r="L26" i="15"/>
  <c r="F26" i="15"/>
  <c r="L13" i="15"/>
  <c r="L14" i="15"/>
  <c r="L15" i="15"/>
  <c r="L16" i="15"/>
  <c r="L17" i="15"/>
  <c r="L18" i="15"/>
  <c r="L19" i="15"/>
  <c r="R26" i="15"/>
  <c r="O26" i="15"/>
  <c r="R19" i="15"/>
  <c r="O19" i="15"/>
  <c r="R18" i="15"/>
  <c r="O18" i="15"/>
  <c r="R17" i="15"/>
  <c r="O17" i="15"/>
  <c r="R16" i="15"/>
  <c r="O16" i="15"/>
  <c r="R15" i="15"/>
  <c r="O15" i="15"/>
  <c r="R14" i="15"/>
  <c r="O14" i="15"/>
  <c r="R13" i="15"/>
  <c r="O13" i="15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G145" i="18" l="1"/>
  <c r="H145" i="18" s="1"/>
  <c r="G182" i="18"/>
  <c r="H182" i="18" s="1"/>
  <c r="G181" i="18"/>
  <c r="H181" i="18" s="1"/>
  <c r="I145" i="18"/>
  <c r="J145" i="18"/>
  <c r="G157" i="18"/>
  <c r="H157" i="18" s="1"/>
  <c r="G143" i="18"/>
  <c r="H143" i="18" s="1"/>
  <c r="G166" i="18"/>
  <c r="H166" i="18" s="1"/>
  <c r="G146" i="18"/>
  <c r="H146" i="18" s="1"/>
  <c r="J146" i="18" s="1"/>
  <c r="G343" i="18"/>
  <c r="H343" i="18" s="1"/>
  <c r="G336" i="18"/>
  <c r="H336" i="18" s="1"/>
  <c r="I336" i="18" s="1"/>
  <c r="G342" i="18"/>
  <c r="H342" i="18" s="1"/>
  <c r="G341" i="18"/>
  <c r="H341" i="18" s="1"/>
  <c r="G340" i="18"/>
  <c r="H340" i="18" s="1"/>
  <c r="G306" i="18"/>
  <c r="H306" i="18" s="1"/>
  <c r="J306" i="18" s="1"/>
  <c r="J307" i="18" s="1"/>
  <c r="G333" i="18"/>
  <c r="H333" i="18" s="1"/>
  <c r="G290" i="18"/>
  <c r="H290" i="18" s="1"/>
  <c r="G289" i="18"/>
  <c r="H289" i="18" s="1"/>
  <c r="G180" i="18"/>
  <c r="H180" i="18" s="1"/>
  <c r="H194" i="18" s="1"/>
  <c r="G186" i="18"/>
  <c r="H186" i="18" s="1"/>
  <c r="G185" i="18"/>
  <c r="H185" i="18" s="1"/>
  <c r="H187" i="18" s="1"/>
  <c r="G162" i="18"/>
  <c r="H162" i="18" s="1"/>
  <c r="G161" i="18"/>
  <c r="H161" i="18" s="1"/>
  <c r="G160" i="18"/>
  <c r="H160" i="18" s="1"/>
  <c r="G159" i="18"/>
  <c r="H159" i="18" s="1"/>
  <c r="G158" i="18"/>
  <c r="H158" i="18" s="1"/>
  <c r="G110" i="18"/>
  <c r="H110" i="18" s="1"/>
  <c r="G109" i="18"/>
  <c r="H109" i="18" s="1"/>
  <c r="G90" i="18"/>
  <c r="H90" i="18" s="1"/>
  <c r="G89" i="18"/>
  <c r="H89" i="18" s="1"/>
  <c r="G87" i="18"/>
  <c r="H87" i="18" s="1"/>
  <c r="H91" i="18" s="1"/>
  <c r="G88" i="18"/>
  <c r="H88" i="18" s="1"/>
  <c r="G63" i="18"/>
  <c r="H63" i="18" s="1"/>
  <c r="G62" i="18"/>
  <c r="H62" i="18" s="1"/>
  <c r="G61" i="18"/>
  <c r="H61" i="18" s="1"/>
  <c r="G60" i="18"/>
  <c r="H60" i="18" s="1"/>
  <c r="G59" i="18"/>
  <c r="H59" i="18" s="1"/>
  <c r="G56" i="18"/>
  <c r="H56" i="18" s="1"/>
  <c r="G52" i="18"/>
  <c r="H52" i="18" s="1"/>
  <c r="G66" i="18"/>
  <c r="H66" i="18" s="1"/>
  <c r="G55" i="18"/>
  <c r="H55" i="18" s="1"/>
  <c r="G53" i="18"/>
  <c r="H53" i="18" s="1"/>
  <c r="G72" i="18"/>
  <c r="H72" i="18" s="1"/>
  <c r="G71" i="18"/>
  <c r="H71" i="18" s="1"/>
  <c r="G70" i="18"/>
  <c r="H70" i="18" s="1"/>
  <c r="G69" i="18"/>
  <c r="H69" i="18" s="1"/>
  <c r="G48" i="18"/>
  <c r="H48" i="18" s="1"/>
  <c r="G47" i="18"/>
  <c r="H47" i="18" s="1"/>
  <c r="G46" i="18"/>
  <c r="H46" i="18" s="1"/>
  <c r="G54" i="18"/>
  <c r="H54" i="18" s="1"/>
  <c r="G51" i="18"/>
  <c r="H51" i="18" s="1"/>
  <c r="G309" i="18"/>
  <c r="H309" i="18" s="1"/>
  <c r="H310" i="18" s="1"/>
  <c r="H314" i="18" s="1"/>
  <c r="G21" i="18"/>
  <c r="H21" i="18" s="1"/>
  <c r="G20" i="18"/>
  <c r="H20" i="18" s="1"/>
  <c r="G19" i="18"/>
  <c r="H19" i="18" s="1"/>
  <c r="G256" i="18"/>
  <c r="H256" i="18" s="1"/>
  <c r="G246" i="18"/>
  <c r="H246" i="18" s="1"/>
  <c r="G350" i="18"/>
  <c r="H350" i="18" s="1"/>
  <c r="G257" i="18"/>
  <c r="H257" i="18" s="1"/>
  <c r="G247" i="18"/>
  <c r="H247" i="18" s="1"/>
  <c r="G263" i="18"/>
  <c r="H263" i="18" s="1"/>
  <c r="G245" i="18"/>
  <c r="H245" i="18" s="1"/>
  <c r="G277" i="18"/>
  <c r="H277" i="18" s="1"/>
  <c r="G274" i="18"/>
  <c r="H274" i="18" s="1"/>
  <c r="G270" i="18"/>
  <c r="H270" i="18" s="1"/>
  <c r="G276" i="18"/>
  <c r="H276" i="18" s="1"/>
  <c r="G273" i="18"/>
  <c r="H273" i="18" s="1"/>
  <c r="G269" i="18"/>
  <c r="H269" i="18" s="1"/>
  <c r="G272" i="18"/>
  <c r="H272" i="18" s="1"/>
  <c r="G268" i="18"/>
  <c r="H268" i="18" s="1"/>
  <c r="G275" i="18"/>
  <c r="H275" i="18" s="1"/>
  <c r="G271" i="18"/>
  <c r="H271" i="18" s="1"/>
  <c r="G253" i="18"/>
  <c r="H253" i="18" s="1"/>
  <c r="G255" i="18"/>
  <c r="H255" i="18" s="1"/>
  <c r="G254" i="18"/>
  <c r="H254" i="18" s="1"/>
  <c r="G252" i="18"/>
  <c r="H252" i="18" s="1"/>
  <c r="G251" i="18"/>
  <c r="H251" i="18" s="1"/>
  <c r="G250" i="18"/>
  <c r="H250" i="18" s="1"/>
  <c r="G329" i="18"/>
  <c r="H329" i="18" s="1"/>
  <c r="G189" i="18"/>
  <c r="H189" i="18" s="1"/>
  <c r="G347" i="18"/>
  <c r="H347" i="18" s="1"/>
  <c r="H348" i="18" s="1"/>
  <c r="H352" i="18" s="1"/>
  <c r="G211" i="18"/>
  <c r="H211" i="18" s="1"/>
  <c r="A30" i="15"/>
  <c r="I14" i="15"/>
  <c r="I19" i="15"/>
  <c r="I16" i="15"/>
  <c r="I15" i="15"/>
  <c r="I26" i="15"/>
  <c r="A27" i="15" s="1"/>
  <c r="I13" i="15"/>
  <c r="I17" i="15"/>
  <c r="I18" i="15"/>
  <c r="I20" i="15"/>
  <c r="J181" i="18" l="1"/>
  <c r="I181" i="18"/>
  <c r="I182" i="18"/>
  <c r="J182" i="18"/>
  <c r="H193" i="18"/>
  <c r="J157" i="18"/>
  <c r="H163" i="18"/>
  <c r="H175" i="18" s="1"/>
  <c r="I157" i="18"/>
  <c r="J166" i="18"/>
  <c r="I166" i="18"/>
  <c r="J143" i="18"/>
  <c r="I143" i="18"/>
  <c r="I146" i="18"/>
  <c r="H99" i="18"/>
  <c r="H73" i="18"/>
  <c r="H345" i="18"/>
  <c r="J343" i="18"/>
  <c r="I343" i="18"/>
  <c r="I334" i="18"/>
  <c r="J334" i="18"/>
  <c r="J336" i="18"/>
  <c r="J341" i="18"/>
  <c r="I341" i="18"/>
  <c r="J342" i="18"/>
  <c r="I342" i="18"/>
  <c r="J340" i="18"/>
  <c r="I340" i="18"/>
  <c r="H307" i="18"/>
  <c r="H313" i="18" s="1"/>
  <c r="I306" i="18"/>
  <c r="I307" i="18" s="1"/>
  <c r="I313" i="18" s="1"/>
  <c r="I333" i="18"/>
  <c r="J333" i="18"/>
  <c r="J313" i="18"/>
  <c r="H291" i="18"/>
  <c r="H299" i="18" s="1"/>
  <c r="I290" i="18"/>
  <c r="J290" i="18"/>
  <c r="I289" i="18"/>
  <c r="J289" i="18"/>
  <c r="I180" i="18"/>
  <c r="J180" i="18"/>
  <c r="I185" i="18"/>
  <c r="J185" i="18"/>
  <c r="I186" i="18"/>
  <c r="J186" i="18"/>
  <c r="I160" i="18"/>
  <c r="J160" i="18"/>
  <c r="I161" i="18"/>
  <c r="J161" i="18"/>
  <c r="I162" i="18"/>
  <c r="J162" i="18"/>
  <c r="I159" i="18"/>
  <c r="J159" i="18"/>
  <c r="I158" i="18"/>
  <c r="J158" i="18"/>
  <c r="H111" i="18"/>
  <c r="I109" i="18"/>
  <c r="J109" i="18"/>
  <c r="I110" i="18"/>
  <c r="J110" i="18"/>
  <c r="H22" i="18"/>
  <c r="H75" i="18" s="1"/>
  <c r="I89" i="18"/>
  <c r="J89" i="18"/>
  <c r="I87" i="18"/>
  <c r="J87" i="18"/>
  <c r="I88" i="18"/>
  <c r="J88" i="18"/>
  <c r="I90" i="18"/>
  <c r="J90" i="18"/>
  <c r="J309" i="18"/>
  <c r="J310" i="18" s="1"/>
  <c r="J314" i="18" s="1"/>
  <c r="I71" i="18"/>
  <c r="J71" i="18"/>
  <c r="J51" i="18"/>
  <c r="I51" i="18"/>
  <c r="H57" i="18"/>
  <c r="I48" i="18"/>
  <c r="J48" i="18"/>
  <c r="I72" i="18"/>
  <c r="J72" i="18"/>
  <c r="J52" i="18"/>
  <c r="I52" i="18"/>
  <c r="J61" i="18"/>
  <c r="I61" i="18"/>
  <c r="I47" i="18"/>
  <c r="J47" i="18"/>
  <c r="J60" i="18"/>
  <c r="I60" i="18"/>
  <c r="J54" i="18"/>
  <c r="I54" i="18"/>
  <c r="I69" i="18"/>
  <c r="J69" i="18"/>
  <c r="J53" i="18"/>
  <c r="I53" i="18"/>
  <c r="J56" i="18"/>
  <c r="I56" i="18"/>
  <c r="J62" i="18"/>
  <c r="I62" i="18"/>
  <c r="H67" i="18"/>
  <c r="J66" i="18"/>
  <c r="J67" i="18" s="1"/>
  <c r="I66" i="18"/>
  <c r="I67" i="18" s="1"/>
  <c r="I46" i="18"/>
  <c r="H49" i="18"/>
  <c r="J46" i="18"/>
  <c r="I70" i="18"/>
  <c r="J70" i="18"/>
  <c r="J55" i="18"/>
  <c r="I55" i="18"/>
  <c r="H64" i="18"/>
  <c r="J59" i="18"/>
  <c r="I59" i="18"/>
  <c r="J63" i="18"/>
  <c r="I63" i="18"/>
  <c r="I309" i="18"/>
  <c r="I310" i="18" s="1"/>
  <c r="I314" i="18" s="1"/>
  <c r="H258" i="18"/>
  <c r="H260" i="18" s="1"/>
  <c r="H278" i="18"/>
  <c r="H280" i="18" s="1"/>
  <c r="J19" i="18"/>
  <c r="I19" i="18"/>
  <c r="J20" i="18"/>
  <c r="I20" i="18"/>
  <c r="J21" i="18"/>
  <c r="I21" i="18"/>
  <c r="I352" i="18"/>
  <c r="J352" i="18"/>
  <c r="J350" i="18"/>
  <c r="H351" i="18"/>
  <c r="I350" i="18"/>
  <c r="I246" i="18"/>
  <c r="J246" i="18"/>
  <c r="J256" i="18"/>
  <c r="I256" i="18"/>
  <c r="I247" i="18"/>
  <c r="J247" i="18"/>
  <c r="J257" i="18"/>
  <c r="I257" i="18"/>
  <c r="J263" i="18"/>
  <c r="I263" i="18"/>
  <c r="I245" i="18"/>
  <c r="J245" i="18"/>
  <c r="I268" i="18"/>
  <c r="J268" i="18"/>
  <c r="I272" i="18"/>
  <c r="J272" i="18"/>
  <c r="J270" i="18"/>
  <c r="I270" i="18"/>
  <c r="J271" i="18"/>
  <c r="I271" i="18"/>
  <c r="J269" i="18"/>
  <c r="I269" i="18"/>
  <c r="J274" i="18"/>
  <c r="I274" i="18"/>
  <c r="J276" i="18"/>
  <c r="I276" i="18"/>
  <c r="J275" i="18"/>
  <c r="I275" i="18"/>
  <c r="J273" i="18"/>
  <c r="I273" i="18"/>
  <c r="J277" i="18"/>
  <c r="I277" i="18"/>
  <c r="J250" i="18"/>
  <c r="I250" i="18"/>
  <c r="I251" i="18"/>
  <c r="J251" i="18"/>
  <c r="I255" i="18"/>
  <c r="J255" i="18"/>
  <c r="J254" i="18"/>
  <c r="I254" i="18"/>
  <c r="J252" i="18"/>
  <c r="I252" i="18"/>
  <c r="J253" i="18"/>
  <c r="I253" i="18"/>
  <c r="J329" i="18"/>
  <c r="I329" i="18"/>
  <c r="I211" i="18"/>
  <c r="J211" i="18"/>
  <c r="J347" i="18"/>
  <c r="I347" i="18"/>
  <c r="J189" i="18"/>
  <c r="I189" i="18"/>
  <c r="G224" i="18"/>
  <c r="H224" i="18" s="1"/>
  <c r="I224" i="18" s="1"/>
  <c r="G233" i="18"/>
  <c r="H233" i="18" s="1"/>
  <c r="G229" i="18"/>
  <c r="H229" i="18" s="1"/>
  <c r="G225" i="18"/>
  <c r="H225" i="18" s="1"/>
  <c r="G232" i="18"/>
  <c r="H232" i="18" s="1"/>
  <c r="G228" i="18"/>
  <c r="H228" i="18" s="1"/>
  <c r="G223" i="18"/>
  <c r="H223" i="18" s="1"/>
  <c r="G220" i="18"/>
  <c r="H220" i="18" s="1"/>
  <c r="G231" i="18"/>
  <c r="H231" i="18" s="1"/>
  <c r="G227" i="18"/>
  <c r="H227" i="18" s="1"/>
  <c r="G222" i="18"/>
  <c r="H222" i="18" s="1"/>
  <c r="G219" i="18"/>
  <c r="H219" i="18" s="1"/>
  <c r="G230" i="18"/>
  <c r="H230" i="18" s="1"/>
  <c r="G226" i="18"/>
  <c r="H226" i="18" s="1"/>
  <c r="G221" i="18"/>
  <c r="H221" i="18" s="1"/>
  <c r="G218" i="18"/>
  <c r="H218" i="18" s="1"/>
  <c r="G171" i="18"/>
  <c r="H171" i="18" s="1"/>
  <c r="G165" i="18"/>
  <c r="H165" i="18" s="1"/>
  <c r="G170" i="18"/>
  <c r="H170" i="18" s="1"/>
  <c r="G169" i="18"/>
  <c r="H169" i="18" s="1"/>
  <c r="G168" i="18"/>
  <c r="H168" i="18" s="1"/>
  <c r="G167" i="18"/>
  <c r="H167" i="18" s="1"/>
  <c r="G322" i="18"/>
  <c r="H322" i="18" s="1"/>
  <c r="G321" i="18"/>
  <c r="H321" i="18" s="1"/>
  <c r="G295" i="18"/>
  <c r="H295" i="18" s="1"/>
  <c r="G294" i="18"/>
  <c r="H294" i="18" s="1"/>
  <c r="G293" i="18"/>
  <c r="H293" i="18" s="1"/>
  <c r="G191" i="18"/>
  <c r="H191" i="18" s="1"/>
  <c r="G190" i="18"/>
  <c r="H190" i="18" s="1"/>
  <c r="H192" i="18" s="1"/>
  <c r="G131" i="18"/>
  <c r="H131" i="18" s="1"/>
  <c r="G132" i="18"/>
  <c r="H132" i="18" s="1"/>
  <c r="G133" i="18"/>
  <c r="H133" i="18" s="1"/>
  <c r="G130" i="18"/>
  <c r="H130" i="18" s="1"/>
  <c r="G115" i="18"/>
  <c r="H115" i="18" s="1"/>
  <c r="G114" i="18"/>
  <c r="H114" i="18" s="1"/>
  <c r="G113" i="18"/>
  <c r="H113" i="18" s="1"/>
  <c r="G93" i="18"/>
  <c r="H93" i="18" s="1"/>
  <c r="G95" i="18"/>
  <c r="H95" i="18" s="1"/>
  <c r="G94" i="18"/>
  <c r="H94" i="18" s="1"/>
  <c r="G82" i="18"/>
  <c r="H82" i="18" s="1"/>
  <c r="G317" i="18"/>
  <c r="H317" i="18" s="1"/>
  <c r="G328" i="18"/>
  <c r="H328" i="18" s="1"/>
  <c r="G265" i="18"/>
  <c r="H265" i="18" s="1"/>
  <c r="G242" i="18"/>
  <c r="H242" i="18" s="1"/>
  <c r="G151" i="18"/>
  <c r="H151" i="18" s="1"/>
  <c r="G147" i="18"/>
  <c r="H147" i="18" s="1"/>
  <c r="J147" i="18" s="1"/>
  <c r="G141" i="18"/>
  <c r="H141" i="18" s="1"/>
  <c r="G127" i="18"/>
  <c r="H127" i="18" s="1"/>
  <c r="G123" i="18"/>
  <c r="H123" i="18" s="1"/>
  <c r="G303" i="18"/>
  <c r="H303" i="18" s="1"/>
  <c r="H304" i="18" s="1"/>
  <c r="H312" i="18" s="1"/>
  <c r="G284" i="18"/>
  <c r="H284" i="18" s="1"/>
  <c r="G239" i="18"/>
  <c r="H239" i="18" s="1"/>
  <c r="G244" i="18"/>
  <c r="H244" i="18" s="1"/>
  <c r="G241" i="18"/>
  <c r="H241" i="18" s="1"/>
  <c r="G153" i="18"/>
  <c r="H153" i="18" s="1"/>
  <c r="G149" i="18"/>
  <c r="H149" i="18" s="1"/>
  <c r="G125" i="18"/>
  <c r="H125" i="18" s="1"/>
  <c r="G286" i="18"/>
  <c r="H286" i="18" s="1"/>
  <c r="G243" i="18"/>
  <c r="H243" i="18" s="1"/>
  <c r="G240" i="18"/>
  <c r="H240" i="18" s="1"/>
  <c r="G199" i="18"/>
  <c r="H199" i="18" s="1"/>
  <c r="G285" i="18"/>
  <c r="H285" i="18" s="1"/>
  <c r="G152" i="18"/>
  <c r="H152" i="18" s="1"/>
  <c r="G142" i="18"/>
  <c r="H142" i="18" s="1"/>
  <c r="G124" i="18"/>
  <c r="H124" i="18" s="1"/>
  <c r="G40" i="18"/>
  <c r="H40" i="18" s="1"/>
  <c r="G34" i="18"/>
  <c r="H34" i="18" s="1"/>
  <c r="G28" i="18"/>
  <c r="H28" i="18" s="1"/>
  <c r="G150" i="18"/>
  <c r="H150" i="18" s="1"/>
  <c r="G84" i="18"/>
  <c r="H84" i="18" s="1"/>
  <c r="G42" i="18"/>
  <c r="H42" i="18" s="1"/>
  <c r="G31" i="18"/>
  <c r="H31" i="18" s="1"/>
  <c r="G27" i="18"/>
  <c r="H27" i="18" s="1"/>
  <c r="G318" i="18"/>
  <c r="H318" i="18" s="1"/>
  <c r="G154" i="18"/>
  <c r="H154" i="18" s="1"/>
  <c r="G104" i="18"/>
  <c r="H104" i="18" s="1"/>
  <c r="G41" i="18"/>
  <c r="H41" i="18" s="1"/>
  <c r="G35" i="18"/>
  <c r="H35" i="18" s="1"/>
  <c r="G264" i="18"/>
  <c r="H264" i="18" s="1"/>
  <c r="G148" i="18"/>
  <c r="H148" i="18" s="1"/>
  <c r="G83" i="18"/>
  <c r="H83" i="18" s="1"/>
  <c r="G37" i="18"/>
  <c r="H37" i="18" s="1"/>
  <c r="G26" i="18"/>
  <c r="H26" i="18" s="1"/>
  <c r="G106" i="18"/>
  <c r="H106" i="18" s="1"/>
  <c r="G144" i="18"/>
  <c r="H144" i="18" s="1"/>
  <c r="G126" i="18"/>
  <c r="H126" i="18" s="1"/>
  <c r="G81" i="18"/>
  <c r="G36" i="18"/>
  <c r="H36" i="18" s="1"/>
  <c r="G30" i="18"/>
  <c r="H30" i="18" s="1"/>
  <c r="G25" i="18"/>
  <c r="H25" i="18" s="1"/>
  <c r="G29" i="18"/>
  <c r="H29" i="18" s="1"/>
  <c r="G212" i="18"/>
  <c r="H212" i="18" s="1"/>
  <c r="G210" i="18"/>
  <c r="H210" i="18" s="1"/>
  <c r="G204" i="18"/>
  <c r="G209" i="18"/>
  <c r="G200" i="18"/>
  <c r="H200" i="18" s="1"/>
  <c r="G213" i="18"/>
  <c r="H213" i="18" s="1"/>
  <c r="G206" i="18"/>
  <c r="H206" i="18" s="1"/>
  <c r="G203" i="18"/>
  <c r="G202" i="18"/>
  <c r="G207" i="18"/>
  <c r="G215" i="18"/>
  <c r="H215" i="18" s="1"/>
  <c r="G105" i="18"/>
  <c r="H105" i="18" s="1"/>
  <c r="I105" i="18" s="1"/>
  <c r="G201" i="18"/>
  <c r="G140" i="18"/>
  <c r="G208" i="18"/>
  <c r="H208" i="18" s="1"/>
  <c r="G214" i="18"/>
  <c r="G205" i="18"/>
  <c r="H205" i="18" s="1"/>
  <c r="A24" i="15"/>
  <c r="H96" i="18" l="1"/>
  <c r="J163" i="18"/>
  <c r="H172" i="18"/>
  <c r="H176" i="18" s="1"/>
  <c r="I163" i="18"/>
  <c r="H100" i="18"/>
  <c r="I344" i="18"/>
  <c r="I345" i="18"/>
  <c r="J345" i="18"/>
  <c r="J344" i="18"/>
  <c r="H311" i="18"/>
  <c r="H315" i="18" s="1"/>
  <c r="J291" i="18"/>
  <c r="J299" i="18" s="1"/>
  <c r="I291" i="18"/>
  <c r="I299" i="18" s="1"/>
  <c r="H287" i="18"/>
  <c r="H296" i="18"/>
  <c r="H300" i="18" s="1"/>
  <c r="H196" i="18"/>
  <c r="H195" i="18"/>
  <c r="J187" i="18"/>
  <c r="J195" i="18" s="1"/>
  <c r="I187" i="18"/>
  <c r="I195" i="18" s="1"/>
  <c r="J175" i="18"/>
  <c r="I175" i="18"/>
  <c r="H120" i="18"/>
  <c r="H119" i="18"/>
  <c r="J111" i="18"/>
  <c r="I111" i="18"/>
  <c r="H77" i="18"/>
  <c r="I49" i="18"/>
  <c r="J91" i="18"/>
  <c r="I91" i="18"/>
  <c r="J57" i="18"/>
  <c r="J49" i="18"/>
  <c r="J73" i="18"/>
  <c r="I64" i="18"/>
  <c r="J64" i="18"/>
  <c r="I73" i="18"/>
  <c r="I57" i="18"/>
  <c r="H266" i="18"/>
  <c r="H279" i="18" s="1"/>
  <c r="H281" i="18" s="1"/>
  <c r="H38" i="18"/>
  <c r="H323" i="18"/>
  <c r="H325" i="18" s="1"/>
  <c r="H116" i="18"/>
  <c r="H234" i="18"/>
  <c r="H236" i="18" s="1"/>
  <c r="H353" i="18"/>
  <c r="H354" i="18"/>
  <c r="H32" i="18"/>
  <c r="H107" i="18"/>
  <c r="H118" i="18" s="1"/>
  <c r="H128" i="18"/>
  <c r="H135" i="18"/>
  <c r="H319" i="18"/>
  <c r="H324" i="18" s="1"/>
  <c r="I22" i="18"/>
  <c r="I75" i="18" s="1"/>
  <c r="H43" i="18"/>
  <c r="H248" i="18"/>
  <c r="H259" i="18" s="1"/>
  <c r="H261" i="18" s="1"/>
  <c r="H136" i="18"/>
  <c r="H134" i="18"/>
  <c r="J22" i="18"/>
  <c r="J75" i="18" s="1"/>
  <c r="I260" i="18"/>
  <c r="I258" i="18"/>
  <c r="J258" i="18"/>
  <c r="J260" i="18"/>
  <c r="I278" i="18"/>
  <c r="I351" i="18"/>
  <c r="J351" i="18"/>
  <c r="J278" i="18"/>
  <c r="J317" i="18"/>
  <c r="I93" i="18"/>
  <c r="J348" i="18"/>
  <c r="I348" i="18"/>
  <c r="J224" i="18"/>
  <c r="J218" i="18"/>
  <c r="I218" i="18"/>
  <c r="I219" i="18"/>
  <c r="J219" i="18"/>
  <c r="J220" i="18"/>
  <c r="I220" i="18"/>
  <c r="J221" i="18"/>
  <c r="I221" i="18"/>
  <c r="I222" i="18"/>
  <c r="J222" i="18"/>
  <c r="J223" i="18"/>
  <c r="I223" i="18"/>
  <c r="J225" i="18"/>
  <c r="I225" i="18"/>
  <c r="J133" i="18"/>
  <c r="J226" i="18"/>
  <c r="I226" i="18"/>
  <c r="I227" i="18"/>
  <c r="J227" i="18"/>
  <c r="J228" i="18"/>
  <c r="I228" i="18"/>
  <c r="J229" i="18"/>
  <c r="I229" i="18"/>
  <c r="J230" i="18"/>
  <c r="I230" i="18"/>
  <c r="I231" i="18"/>
  <c r="J231" i="18"/>
  <c r="J232" i="18"/>
  <c r="I232" i="18"/>
  <c r="J233" i="18"/>
  <c r="I233" i="18"/>
  <c r="I170" i="18"/>
  <c r="J170" i="18"/>
  <c r="I169" i="18"/>
  <c r="J169" i="18"/>
  <c r="J165" i="18"/>
  <c r="I165" i="18"/>
  <c r="I168" i="18"/>
  <c r="J168" i="18"/>
  <c r="J167" i="18"/>
  <c r="I167" i="18"/>
  <c r="J171" i="18"/>
  <c r="I321" i="18"/>
  <c r="J321" i="18"/>
  <c r="J322" i="18"/>
  <c r="I322" i="18"/>
  <c r="I293" i="18"/>
  <c r="J293" i="18"/>
  <c r="J294" i="18"/>
  <c r="I294" i="18"/>
  <c r="J295" i="18"/>
  <c r="I295" i="18"/>
  <c r="J190" i="18"/>
  <c r="I190" i="18"/>
  <c r="J191" i="18"/>
  <c r="I191" i="18"/>
  <c r="J130" i="18"/>
  <c r="I130" i="18"/>
  <c r="J124" i="18"/>
  <c r="I124" i="18"/>
  <c r="I133" i="18"/>
  <c r="J132" i="18"/>
  <c r="I132" i="18"/>
  <c r="J131" i="18"/>
  <c r="I131" i="18"/>
  <c r="I113" i="18"/>
  <c r="J113" i="18"/>
  <c r="J114" i="18"/>
  <c r="I114" i="18"/>
  <c r="J115" i="18"/>
  <c r="I115" i="18"/>
  <c r="J93" i="18"/>
  <c r="I94" i="18"/>
  <c r="J94" i="18"/>
  <c r="I95" i="18"/>
  <c r="J95" i="18"/>
  <c r="J82" i="18"/>
  <c r="I82" i="18"/>
  <c r="I317" i="18"/>
  <c r="J328" i="18"/>
  <c r="J330" i="18" s="1"/>
  <c r="I328" i="18"/>
  <c r="I330" i="18" s="1"/>
  <c r="H214" i="18"/>
  <c r="J213" i="18"/>
  <c r="I213" i="18"/>
  <c r="I36" i="18"/>
  <c r="J36" i="18"/>
  <c r="J37" i="18"/>
  <c r="I37" i="18"/>
  <c r="J154" i="18"/>
  <c r="I154" i="18"/>
  <c r="I27" i="18"/>
  <c r="J150" i="18"/>
  <c r="I150" i="18"/>
  <c r="J40" i="18"/>
  <c r="I40" i="18"/>
  <c r="J152" i="18"/>
  <c r="I152" i="18"/>
  <c r="I286" i="18"/>
  <c r="J286" i="18"/>
  <c r="I149" i="18"/>
  <c r="J149" i="18"/>
  <c r="J244" i="18"/>
  <c r="I244" i="18"/>
  <c r="J284" i="18"/>
  <c r="I284" i="18"/>
  <c r="J127" i="18"/>
  <c r="J265" i="18"/>
  <c r="I265" i="18"/>
  <c r="I205" i="18"/>
  <c r="J205" i="18"/>
  <c r="J200" i="18"/>
  <c r="I200" i="18"/>
  <c r="J210" i="18"/>
  <c r="I210" i="18"/>
  <c r="I29" i="18"/>
  <c r="J29" i="18"/>
  <c r="I83" i="18"/>
  <c r="J83" i="18"/>
  <c r="I35" i="18"/>
  <c r="J35" i="18"/>
  <c r="J318" i="18"/>
  <c r="I318" i="18"/>
  <c r="J31" i="18"/>
  <c r="I31" i="18"/>
  <c r="I199" i="18"/>
  <c r="J199" i="18"/>
  <c r="I153" i="18"/>
  <c r="J153" i="18"/>
  <c r="I303" i="18"/>
  <c r="I304" i="18" s="1"/>
  <c r="J303" i="18"/>
  <c r="J304" i="18" s="1"/>
  <c r="I141" i="18"/>
  <c r="J141" i="18"/>
  <c r="I242" i="18"/>
  <c r="J242" i="18"/>
  <c r="J126" i="18"/>
  <c r="J148" i="18"/>
  <c r="I148" i="18"/>
  <c r="I41" i="18"/>
  <c r="J41" i="18"/>
  <c r="I42" i="18"/>
  <c r="J42" i="18"/>
  <c r="I285" i="18"/>
  <c r="J285" i="18"/>
  <c r="J240" i="18"/>
  <c r="I240" i="18"/>
  <c r="I125" i="18"/>
  <c r="J125" i="18"/>
  <c r="I194" i="18"/>
  <c r="I147" i="18"/>
  <c r="J212" i="18"/>
  <c r="I212" i="18"/>
  <c r="I25" i="18"/>
  <c r="J25" i="18"/>
  <c r="J208" i="18"/>
  <c r="I208" i="18"/>
  <c r="H140" i="18"/>
  <c r="H155" i="18" s="1"/>
  <c r="J215" i="18"/>
  <c r="I215" i="18"/>
  <c r="J206" i="18"/>
  <c r="I206" i="18"/>
  <c r="H209" i="18"/>
  <c r="I30" i="18"/>
  <c r="J30" i="18"/>
  <c r="J144" i="18"/>
  <c r="I144" i="18"/>
  <c r="J106" i="18"/>
  <c r="I106" i="18"/>
  <c r="I26" i="18"/>
  <c r="J26" i="18"/>
  <c r="J264" i="18"/>
  <c r="I264" i="18"/>
  <c r="J104" i="18"/>
  <c r="I104" i="18"/>
  <c r="J84" i="18"/>
  <c r="I84" i="18"/>
  <c r="J34" i="18"/>
  <c r="I34" i="18"/>
  <c r="J142" i="18"/>
  <c r="I142" i="18"/>
  <c r="J243" i="18"/>
  <c r="I243" i="18"/>
  <c r="J241" i="18"/>
  <c r="I241" i="18"/>
  <c r="J239" i="18"/>
  <c r="I239" i="18"/>
  <c r="J123" i="18"/>
  <c r="I123" i="18"/>
  <c r="I151" i="18"/>
  <c r="J151" i="18"/>
  <c r="H204" i="18"/>
  <c r="H207" i="18"/>
  <c r="H202" i="18"/>
  <c r="H201" i="18"/>
  <c r="H203" i="18"/>
  <c r="H81" i="18"/>
  <c r="H85" i="18" s="1"/>
  <c r="H97" i="18" s="1"/>
  <c r="H174" i="18" l="1"/>
  <c r="H173" i="18"/>
  <c r="H177" i="18" s="1"/>
  <c r="J172" i="18"/>
  <c r="H101" i="18"/>
  <c r="J96" i="18"/>
  <c r="J100" i="18" s="1"/>
  <c r="I96" i="18"/>
  <c r="J99" i="18"/>
  <c r="I99" i="18"/>
  <c r="H358" i="18"/>
  <c r="J312" i="18"/>
  <c r="J311" i="18"/>
  <c r="J315" i="18" s="1"/>
  <c r="I312" i="18"/>
  <c r="I311" i="18"/>
  <c r="I315" i="18" s="1"/>
  <c r="H137" i="18"/>
  <c r="H298" i="18"/>
  <c r="H297" i="18"/>
  <c r="H301" i="18" s="1"/>
  <c r="J296" i="18"/>
  <c r="J300" i="18" s="1"/>
  <c r="I287" i="18"/>
  <c r="H197" i="18"/>
  <c r="I197" i="18" s="1"/>
  <c r="J287" i="18"/>
  <c r="I296" i="18"/>
  <c r="I300" i="18" s="1"/>
  <c r="I192" i="18"/>
  <c r="I196" i="18" s="1"/>
  <c r="J193" i="18"/>
  <c r="J194" i="18"/>
  <c r="I193" i="18"/>
  <c r="I176" i="18"/>
  <c r="J116" i="18"/>
  <c r="J120" i="18" s="1"/>
  <c r="J119" i="18"/>
  <c r="I116" i="18"/>
  <c r="I120" i="18" s="1"/>
  <c r="H117" i="18"/>
  <c r="H121" i="18" s="1"/>
  <c r="I119" i="18"/>
  <c r="J77" i="18"/>
  <c r="H76" i="18"/>
  <c r="H357" i="18" s="1"/>
  <c r="H74" i="18"/>
  <c r="H78" i="18" s="1"/>
  <c r="I77" i="18"/>
  <c r="H216" i="18"/>
  <c r="H235" i="18" s="1"/>
  <c r="J353" i="18"/>
  <c r="I353" i="18"/>
  <c r="H237" i="18"/>
  <c r="J237" i="18" s="1"/>
  <c r="H326" i="18"/>
  <c r="I354" i="18"/>
  <c r="J354" i="18"/>
  <c r="I324" i="18"/>
  <c r="J324" i="18"/>
  <c r="I325" i="18"/>
  <c r="J325" i="18"/>
  <c r="I259" i="18"/>
  <c r="I261" i="18" s="1"/>
  <c r="I248" i="18"/>
  <c r="I280" i="18"/>
  <c r="J280" i="18"/>
  <c r="J259" i="18"/>
  <c r="J261" i="18" s="1"/>
  <c r="J248" i="18"/>
  <c r="I266" i="18"/>
  <c r="I279" i="18" s="1"/>
  <c r="J266" i="18"/>
  <c r="J279" i="18" s="1"/>
  <c r="J38" i="18"/>
  <c r="I32" i="18"/>
  <c r="I38" i="18"/>
  <c r="J32" i="18"/>
  <c r="J323" i="18"/>
  <c r="I323" i="18"/>
  <c r="I319" i="18"/>
  <c r="J319" i="18"/>
  <c r="J192" i="18"/>
  <c r="J196" i="18" s="1"/>
  <c r="J134" i="18"/>
  <c r="J176" i="18"/>
  <c r="J128" i="18"/>
  <c r="I107" i="18"/>
  <c r="I118" i="18" s="1"/>
  <c r="J234" i="18"/>
  <c r="I100" i="18"/>
  <c r="J43" i="18"/>
  <c r="I43" i="18"/>
  <c r="I203" i="18"/>
  <c r="J203" i="18"/>
  <c r="J105" i="18"/>
  <c r="I201" i="18"/>
  <c r="J201" i="18"/>
  <c r="J202" i="18"/>
  <c r="I202" i="18"/>
  <c r="J140" i="18"/>
  <c r="I140" i="18"/>
  <c r="I155" i="18" s="1"/>
  <c r="J204" i="18"/>
  <c r="I204" i="18"/>
  <c r="J209" i="18"/>
  <c r="I209" i="18"/>
  <c r="J214" i="18"/>
  <c r="I214" i="18"/>
  <c r="I207" i="18"/>
  <c r="J207" i="18"/>
  <c r="J81" i="18"/>
  <c r="J85" i="18" s="1"/>
  <c r="J98" i="18" s="1"/>
  <c r="I81" i="18"/>
  <c r="I85" i="18" s="1"/>
  <c r="I98" i="18" s="1"/>
  <c r="J155" i="18" l="1"/>
  <c r="J174" i="18" s="1"/>
  <c r="I174" i="18"/>
  <c r="H98" i="18"/>
  <c r="I97" i="18"/>
  <c r="J101" i="18"/>
  <c r="I101" i="18"/>
  <c r="J97" i="18"/>
  <c r="H355" i="18"/>
  <c r="H359" i="18" s="1"/>
  <c r="I357" i="18"/>
  <c r="J357" i="18"/>
  <c r="J358" i="18"/>
  <c r="I358" i="18"/>
  <c r="I177" i="18"/>
  <c r="J197" i="18"/>
  <c r="I298" i="18"/>
  <c r="I297" i="18"/>
  <c r="I301" i="18" s="1"/>
  <c r="J297" i="18"/>
  <c r="J301" i="18" s="1"/>
  <c r="J298" i="18"/>
  <c r="I117" i="18"/>
  <c r="I121" i="18" s="1"/>
  <c r="I76" i="18"/>
  <c r="J76" i="18"/>
  <c r="I74" i="18"/>
  <c r="I78" i="18" s="1"/>
  <c r="J74" i="18"/>
  <c r="J78" i="18" s="1"/>
  <c r="J326" i="18"/>
  <c r="I326" i="18"/>
  <c r="I281" i="18"/>
  <c r="J281" i="18"/>
  <c r="J236" i="18"/>
  <c r="I236" i="18"/>
  <c r="I137" i="18"/>
  <c r="J137" i="18"/>
  <c r="J216" i="18"/>
  <c r="I216" i="18"/>
  <c r="J107" i="18"/>
  <c r="I237" i="18"/>
  <c r="H356" i="18" l="1"/>
  <c r="I356" i="18" s="1"/>
  <c r="J177" i="18"/>
  <c r="I355" i="18"/>
  <c r="J118" i="18"/>
  <c r="J117" i="18"/>
  <c r="J121" i="18" s="1"/>
  <c r="J356" i="18" l="1"/>
  <c r="J355" i="18"/>
  <c r="J331" i="18"/>
  <c r="I331" i="18"/>
  <c r="I359" i="18" l="1"/>
  <c r="J359" i="18"/>
</calcChain>
</file>

<file path=xl/sharedStrings.xml><?xml version="1.0" encoding="utf-8"?>
<sst xmlns="http://schemas.openxmlformats.org/spreadsheetml/2006/main" count="960" uniqueCount="585">
  <si>
    <t>DECLARAÇÕES</t>
  </si>
  <si>
    <t>Orçamento COM A DESONERAÇÃO prevista na Lei 13.161/2015</t>
  </si>
  <si>
    <t>Orçamento SEM A DESONERAÇÃO prevista na Lei  13.161/2015</t>
  </si>
  <si>
    <t>Mediana</t>
  </si>
  <si>
    <t>Data</t>
  </si>
  <si>
    <t>Tipo de Obra</t>
  </si>
  <si>
    <t>Contribuição Previdenciária</t>
  </si>
  <si>
    <t>Parcelas do BDI</t>
  </si>
  <si>
    <t>Valor percentual adotado</t>
  </si>
  <si>
    <t>Limites das parcelas do BDI para obras do tipo acima selecionado.
Acórdão TCU 2622/2013</t>
  </si>
  <si>
    <t>Mín</t>
  </si>
  <si>
    <t>Med.</t>
  </si>
  <si>
    <t>Máx.</t>
  </si>
  <si>
    <t>BDI Adotado</t>
  </si>
  <si>
    <t>Valor para simples conferência do enquadramento do BDI nos limites estabelecidos pelo Acórdão TCU 2622/2013</t>
  </si>
  <si>
    <t>1º Quartil</t>
  </si>
  <si>
    <t>3º Quartil</t>
  </si>
  <si>
    <t>LIMITES das PARCELAS componentes do BDI conforme Acórdão 2622/2013-TCU</t>
  </si>
  <si>
    <t>Tipo 1</t>
  </si>
  <si>
    <t>Tipo 2</t>
  </si>
  <si>
    <t>Tipo 3</t>
  </si>
  <si>
    <t>Tipo 4</t>
  </si>
  <si>
    <t>Tipo 5</t>
  </si>
  <si>
    <t>Tipo 6</t>
  </si>
  <si>
    <t>AC: taxa de administração central</t>
  </si>
  <si>
    <t>S+G: taxa de seguros e garantias</t>
  </si>
  <si>
    <t>R: taxa de riscos</t>
  </si>
  <si>
    <t>DF: taxa de despesas financeiras</t>
  </si>
  <si>
    <t>L: taxa de lucro/remuneração</t>
  </si>
  <si>
    <t>PIS</t>
  </si>
  <si>
    <t>COFINS</t>
  </si>
  <si>
    <t>ISSQN</t>
  </si>
  <si>
    <t>LEI DESONERAÇÃO</t>
  </si>
  <si>
    <t>I: Percentual de impostos sem a Desoneração</t>
  </si>
  <si>
    <t>Valor escolhido na Planilha BDI</t>
  </si>
  <si>
    <t>BDIs Adminssíveis por tipo de obra</t>
  </si>
  <si>
    <t>Construção de edifícios</t>
  </si>
  <si>
    <t>Construção de rodovias e ferrovias</t>
  </si>
  <si>
    <t>Construção de redes de abastecimento de água, coleta de esgoto e construções correlatas</t>
  </si>
  <si>
    <t>Construção e manutenção de estações e redes de distribuição de energia elétrica</t>
  </si>
  <si>
    <t>Obras portuárias, marítimas e fluviais</t>
  </si>
  <si>
    <t>Fornecimento de materiais e equipamentos</t>
  </si>
  <si>
    <t>'</t>
  </si>
  <si>
    <t>Opção</t>
  </si>
  <si>
    <t>REFERÊNCIA DE CUSTOS UNITÁRIOS (data-base):</t>
  </si>
  <si>
    <t>ITEM</t>
  </si>
  <si>
    <t>QUANT.</t>
  </si>
  <si>
    <t>Aprovação:</t>
  </si>
  <si>
    <t>REFERÊNCIA</t>
  </si>
  <si>
    <t>DESCRIMINAÇÃO</t>
  </si>
  <si>
    <t>UND.</t>
  </si>
  <si>
    <t>CUSTO UNITÁRIO (S/ BDI)</t>
  </si>
  <si>
    <t>VALOR UNITÁRIO (C/ BDI)</t>
  </si>
  <si>
    <t>VALOR TOTAL (R$)</t>
  </si>
  <si>
    <t>Responsável Técnico:</t>
  </si>
  <si>
    <t>Material e mão-de-obra</t>
  </si>
  <si>
    <t>TOTAL</t>
  </si>
  <si>
    <t>Pref. Mun. de São Jerônimo</t>
  </si>
  <si>
    <t>PROJETO BÁSICO DE ENGENHARIA</t>
  </si>
  <si>
    <t>Nome e CREA/CAU do Responsável Técnico pelo orçamento</t>
  </si>
  <si>
    <r>
      <t xml:space="preserve">(AC) - </t>
    </r>
    <r>
      <rPr>
        <sz val="12"/>
        <rFont val="Arial"/>
        <family val="2"/>
      </rPr>
      <t>Administração Central</t>
    </r>
  </si>
  <si>
    <r>
      <t xml:space="preserve">(S) + (G) - </t>
    </r>
    <r>
      <rPr>
        <sz val="12"/>
        <rFont val="Arial"/>
        <family val="2"/>
      </rPr>
      <t>Seguro e Garantia</t>
    </r>
  </si>
  <si>
    <r>
      <t xml:space="preserve">(R) - </t>
    </r>
    <r>
      <rPr>
        <sz val="12"/>
        <rFont val="Arial"/>
        <family val="2"/>
      </rPr>
      <t>Risco</t>
    </r>
  </si>
  <si>
    <r>
      <t xml:space="preserve">(DF) - </t>
    </r>
    <r>
      <rPr>
        <sz val="12"/>
        <rFont val="Arial"/>
        <family val="2"/>
      </rPr>
      <t>Despesas Financeiras</t>
    </r>
  </si>
  <si>
    <r>
      <t xml:space="preserve">(L) - </t>
    </r>
    <r>
      <rPr>
        <sz val="12"/>
        <rFont val="Arial"/>
        <family val="2"/>
      </rPr>
      <t>Lucro</t>
    </r>
  </si>
  <si>
    <r>
      <t xml:space="preserve">(I1) - </t>
    </r>
    <r>
      <rPr>
        <sz val="12"/>
        <rFont val="Arial"/>
        <family val="2"/>
      </rPr>
      <t>PIS</t>
    </r>
  </si>
  <si>
    <r>
      <t xml:space="preserve">(I2) - </t>
    </r>
    <r>
      <rPr>
        <sz val="12"/>
        <rFont val="Arial"/>
        <family val="2"/>
      </rPr>
      <t>COFINS</t>
    </r>
  </si>
  <si>
    <r>
      <t xml:space="preserve">(I3) - </t>
    </r>
    <r>
      <rPr>
        <sz val="12"/>
        <rFont val="Arial"/>
        <family val="2"/>
      </rPr>
      <t>ISS</t>
    </r>
  </si>
  <si>
    <r>
      <t xml:space="preserve">(I4) - </t>
    </r>
    <r>
      <rPr>
        <sz val="12"/>
        <rFont val="Arial"/>
        <family val="2"/>
      </rPr>
      <t>Contrib. Previdenciária</t>
    </r>
  </si>
  <si>
    <t>BDI desconsiderando a parcela 
(I4) contribuição previdenciária</t>
  </si>
  <si>
    <t>ANEXO 01- PLANILHA ORÇAMENTÁRIA</t>
  </si>
  <si>
    <t>ANEXO 02- DETALHAMENTO DE BDI</t>
  </si>
  <si>
    <t>ANEXO 03- CRONOGRAMA FÍSICO-FINANCEIRO</t>
  </si>
  <si>
    <t>GILBERTO PRADELLA</t>
  </si>
  <si>
    <t>Arquiteto e Urbanista</t>
  </si>
  <si>
    <t>Limites do valor do BDI para obras do tipo acima selecionado.
Acórdão TCU 2622/2013* (somar I4)</t>
  </si>
  <si>
    <t>M2</t>
  </si>
  <si>
    <t>Cau: A14.344-8</t>
  </si>
  <si>
    <t>GILBERTO PRADELLA - CAU A14.344-8</t>
  </si>
  <si>
    <t xml:space="preserve">Nº  RRT do orçamento </t>
  </si>
  <si>
    <t>COBERTURA</t>
  </si>
  <si>
    <t>M</t>
  </si>
  <si>
    <t>M3</t>
  </si>
  <si>
    <t>SOLICITANTE: SECRETARIA MUNICIPAL DE EDUCAÇÃO</t>
  </si>
  <si>
    <t>BDI aplicado (Material e mão-de-obra): ......................................................................................................</t>
  </si>
  <si>
    <t>DEMOLIÇÃO DE ALVENARIA DE BLOCO FURADO, DE FORMA MANUAL, SEM REAPROVEITAMENTO. AF_12/2017</t>
  </si>
  <si>
    <t>ESQUADRIAS</t>
  </si>
  <si>
    <t>REMOÇÃO DE PORTAS, DE FORMA MANUAL, SEM REAPROVEITAMENTO. AF_12/2017</t>
  </si>
  <si>
    <t>PINTURA E ACABAMENTO</t>
  </si>
  <si>
    <t>1.1</t>
  </si>
  <si>
    <t>4.1</t>
  </si>
  <si>
    <t>DATA</t>
  </si>
  <si>
    <t>RRT/CAU  do responsável técnico GILBERTO PRADELLA-CAU-RS A14.344-8</t>
  </si>
  <si>
    <t>ANEXO 04- DETALHAMENTO DOS ENCARGOS SOCIAIS</t>
  </si>
  <si>
    <t>OBSERVAÇÕES</t>
  </si>
  <si>
    <t>Arq. Gilberto Pradella - Cau: A14.344-8</t>
  </si>
  <si>
    <t>5.2</t>
  </si>
  <si>
    <t>ENCARGOS SOCIAIS DESONERADOS: 83,74%(HORA) 47,06%(MÊS)   *Sinapi</t>
  </si>
  <si>
    <t>1.2</t>
  </si>
  <si>
    <t>5.1</t>
  </si>
  <si>
    <t>VALOR M.O. (R$)</t>
  </si>
  <si>
    <t>2.1</t>
  </si>
  <si>
    <t>ANEXO 05- ITENS DE MAIOR RELEVÂNCIA</t>
  </si>
  <si>
    <t>REMOÇÃO DE JANELAS, DE FORMA MANUAL, SEM REAPROVEITAMENTO. AF_12/2017</t>
  </si>
  <si>
    <t>JANELA DE AÇO BASCULANTE, FIXAÇÃO COM ARGAMASSA, SEM VIDROS, PADRONIZADA. AF_07/2016</t>
  </si>
  <si>
    <t>VIDRO LISO COMUM TRANSPARENTE, ESPESSURA 3MM</t>
  </si>
  <si>
    <t>REMOÇÃO DE TELHAS, DE FIBROCIMENTO, METÁLICA E CERÂMICA, DE FORMA MANUAL, SEM REAPROVEITAMENTO. AF_12/2017</t>
  </si>
  <si>
    <t>REMOÇÃO DE TRAMA DE MADEIRA PARA COBERTURA, DE FORMA MANUAL, SEM REAPROVEITAMENTO. AF_12/2017</t>
  </si>
  <si>
    <t>REMOÇÃO DE TESOURAS DE MADEIRA, COM VÃO MAIOR OU IGUAL A 8M, DE FORMAMANUAL, SEM REAPROVEITAMENTO. AF_12/2017</t>
  </si>
  <si>
    <t>FORRO EM RÉGUAS DE PVC, FRISADO, PARA AMBIENTES COMERCIAIS, INCLUSIVE ESTRUTURA DE FIXAÇÃO. AF_05/2017_P</t>
  </si>
  <si>
    <t>AJUDANTE DE ESTRUTURA METÁLICA COM ENCARGOS COMPLEMENTARES</t>
  </si>
  <si>
    <t>MONTADOR DE ESTRUTURA METÁLICA COM ENCARGOS COMPLEMENTARES</t>
  </si>
  <si>
    <t>88278</t>
  </si>
  <si>
    <t>KG</t>
  </si>
  <si>
    <t>2.2</t>
  </si>
  <si>
    <t>4.2</t>
  </si>
  <si>
    <t xml:space="preserve">PINTURA ESMALTE ALTO BRILHO, DUAS DEMAOS, SOBRE SUPERFICIE METALICA </t>
  </si>
  <si>
    <t>FUNDO ANTICORROSIVO A BASE DE OXIDO DE FERRO (ZARCAO), DUAS DEMAOS</t>
  </si>
  <si>
    <t>PISOS</t>
  </si>
  <si>
    <t>REVESTIMENTO CERÂMICO PARA PISO COM PLACAS TIPO ESMALTADA EXTRA DE DIMENSÕES 35X35 CM APLICADA EM AMBIENTES DE ÁREA MAIOR QUE 10 M2. AF_06/2014</t>
  </si>
  <si>
    <t>FECHADURA DE EMBUTIR PARA PORTAS INTERNAS, COMPLETA, ACABAMENTO PADRÃOPOPULAR, COM EXECUÇÃO DE FURO - FORNECIMENTO E INSTALAÇÃO. AF_08/2015</t>
  </si>
  <si>
    <t>FECHADURA DE EMBUTIR COM CILINDRO, EXTERNA, COMPLETA, ACABAMENTO PADRÃO POPULAR, INCLUSO EXECUÇÃO DE FURO - FORNECIMENTO E INSTALAÇÃO. AF_08/2015</t>
  </si>
  <si>
    <t>CABO DE COBRE FLEXÍVEL ISOLADO, 6 MM², ANTI-CHAMA 450/750 V, PARA CIRCUITOS TERMINAIS - FORNECIMENTO E INSTALAÇÃO. AF_12/2015</t>
  </si>
  <si>
    <t>PINTURA ESMALTE BRILHANTE PARA MADEIRA, DUAS DEMAOS, SOBRE FUNDO NIVELADOR BRANCO (portas)</t>
  </si>
  <si>
    <t>PONTO DE CONSUMO TERMINAL DE ÁGUA FRIA (SUBRAMAL) COM TUBULAÇÃO DE PVC, DN 25 MM, INSTALADO EM RAMAL DE ÁGUA, INCLUSOS RASGO E CHUMBAMENTO EM ALVENARIA. AF_12/2014</t>
  </si>
  <si>
    <t>3.1</t>
  </si>
  <si>
    <t>3.2</t>
  </si>
  <si>
    <t>6.2</t>
  </si>
  <si>
    <t>7.1</t>
  </si>
  <si>
    <t>8.1</t>
  </si>
  <si>
    <t>DISJUNTOR MONOPOLAR TIPO DIN, CORRENTE NOMINAL DE 16A - FORNECIMENTO E INSTALAÇÃO. AF_04/2016</t>
  </si>
  <si>
    <t>DISJUNTOR MONOPOLAR TIPO DIN, CORRENTE NOMINAL DE 20A - FORNECIMENTO EINSTALAÇÃO. AF_04/2016</t>
  </si>
  <si>
    <t>INTERRUPTOR SIMPLES (1 MÓDULO), 10A/250V, INCLUINDO SUPORTE E PLACA - FORNECIMENTO E INSTALAÇÃO. AF_12/2015</t>
  </si>
  <si>
    <t>INTERRUPTOR SIMPLES (2 MÓDULOS), 10A/250V, SEM SUPORTE E SEM PLACA - FORNECIMENTO E INSTALAÇÃO. AF_12/2015</t>
  </si>
  <si>
    <t>INTERRUPTOR SIMPLES (3 MÓDULOS), 10A/250V, INCLUINDO SUPORTE E PLACA -FORNECIMENTO E INSTALAÇÃO. AF_12/2015</t>
  </si>
  <si>
    <t>LUMINÁRIA TIPO SPOT, DE SOBREPOR, COM 1 LÂMPADA DE 15 W - FORNECIMENTO E INSTALAÇÃO. AF_11/2017</t>
  </si>
  <si>
    <t>TOMADA BAIXA DE EMBUTIR (1 MÓDULO), 2P+T 10 A, INCLUINDO SUPORTE E PLACA - FORNECIMENTO E INSTALAÇÃO. AF_12/2015</t>
  </si>
  <si>
    <t>TOMADA MÉDIA DE EMBUTIR (2 MÓDULOS), 2P+T 10 A, INCLUINDO SUPORTE E PLACA - FORNECIMENTO E INSTALAÇÃO. AF_12/2015</t>
  </si>
  <si>
    <t>TOMADA ALTA DE EMBUTIR (1 MÓDULO), 2P+T 20 A, INCLUINDO SUPORTE E PLACA - FORNECIMENTO E INSTALAÇÃO. AF_12/2015</t>
  </si>
  <si>
    <t>CABO DE COBRE FLEXÍVEL ISOLADO, 2,5 MM², ANTI-CHAMA 450/750 V, PARA CIRCUITOS TERMINAIS - FORNECIMENTO E INSTALAÇÃO. AF_12/2015</t>
  </si>
  <si>
    <t>ELETRODUTO FLEXÍVEL CORRUGADO, PVC, DN 32 MM (1"), PARA CIRCUITOS TERMINAIS, INSTALADO EM FORRO - FORNECIMENTO E INSTALAÇÃO. AF_12/2015</t>
  </si>
  <si>
    <t>ELETRODUTO FLEXÍVEL CORRUGADO, PVC, DN 32 MM (1"), PARA CIRCUITOS TERMINAIS, INSTALADO EM PAREDE - FORNECIMENTO E INSTALAÇÃO. AF_12/2015</t>
  </si>
  <si>
    <t>TORNEIRA CROMADA DE MESA PARA LAVATORIO, PADRAO POPULAR, 1/2 " OU 3/4 " (REF1193)</t>
  </si>
  <si>
    <t>JOELHO PVC, SOLDAVEL COM ROSCA, 90 GRAUS, 25 MM X 1/2", PARA AGUA FRIA PREDIAL</t>
  </si>
  <si>
    <t>TE SOLDAVEL, PVC, 90 GRAUS, 25 MM, PARA AGUA FRIA PREDIAL (NBR 5648)</t>
  </si>
  <si>
    <t>QUADRO DE DISTRIBUICAO DE ENERGIA DE EMBUTIR, EM CHAPA METALICA, PARA *15 DISJUNTORES TERMOMAGNETICOS MONOPOLARES, COM BARRAMENTO TRIFASICO E NEUTRO, FORNECIMENTO E INSTALACAO</t>
  </si>
  <si>
    <t>DISJUNTOR MONOPOLAR TIPO DIN, CORRENTE NOMINAL DE 32A - FORNECIMENTO EINSTALAÇÃO. AF_04/2016</t>
  </si>
  <si>
    <t>VASO SANITARIO SIFONADO COM CAIXA ACOPLADA LOUÇA BRANCA - FORNECIMENTO E INSTALAÇÃO. AF_01/2020</t>
  </si>
  <si>
    <t>LAVATÓRIO LOUÇA BRANCA COM COLUNA, *44 X 35,5* CM, PADRÃO POPULAR - FORNECIMENTO E INSTALAÇÃO. AF_01/2020</t>
  </si>
  <si>
    <t>PORTA DE MADEIRA PARA PINTURA, SEMI-OCA (LEVE OU MÉDIA), 80X210CM, ESPESSURA DE 3,5CM, INCLUSO DOBRADIÇAS - FORNECIMENTO E INSTALAÇÃO. AF_12/2019</t>
  </si>
  <si>
    <t>PORTA DE MADEIRA PARA PINTURA, SEMI-OCA (LEVE OU MÉDIA), 60X210CM, ESPESSURA DE 3,5CM, INCLUSO DOBRADIÇAS - FORNECIMENTO E INSTALAÇÃO. AF_12/2019</t>
  </si>
  <si>
    <r>
      <t>OBJETO:</t>
    </r>
    <r>
      <rPr>
        <sz val="12"/>
        <rFont val="Arial"/>
        <family val="2"/>
        <scheme val="major"/>
      </rPr>
      <t xml:space="preserve"> E.M.E.F. JOÃO CERNICCHIARO</t>
    </r>
  </si>
  <si>
    <r>
      <t>LOCAL DA OBRA:</t>
    </r>
    <r>
      <rPr>
        <sz val="12"/>
        <rFont val="Arial"/>
        <family val="2"/>
        <scheme val="major"/>
      </rPr>
      <t xml:space="preserve"> Professora Nair, Lago de Oliveira</t>
    </r>
  </si>
  <si>
    <t>CUMEEIRA EM PERFIL ONDULADO DE AÇO ZINCADO</t>
  </si>
  <si>
    <t>RUFO EM CHAPA DE AÇO GALVANIZADO NR. 24, DESENVOLVIMENTO 25CM</t>
  </si>
  <si>
    <t>PINGADEIRA (CHAPIM) EM CONCRETO</t>
  </si>
  <si>
    <t>CAIXA SIFONADA 150X150X150</t>
  </si>
  <si>
    <t>TERMINAL DE VENTILAÇÃO 50MM</t>
  </si>
  <si>
    <t>TUBO PVC RÍGIDO 100MM, FORNEC. E INSTALAÇÃO</t>
  </si>
  <si>
    <t>JUNÇÃO PVC SIMPLES 100MM-50MM</t>
  </si>
  <si>
    <t>TUBO PVC RÍGIDO 50MM, FORNEC. E INSTALAÇÃO</t>
  </si>
  <si>
    <t>8.2</t>
  </si>
  <si>
    <t>8.3</t>
  </si>
  <si>
    <t>8.4</t>
  </si>
  <si>
    <t>ESCADA DE CONCRETO PARA O PÁTIO</t>
  </si>
  <si>
    <t>INSTALAÇÃO DE TESOURA (INTEIRA OU MEIA), EM AÇO, PARA VÃOS MAIORES OU
IGUAIS A 6,0 M E MENORES QUE 8,0 M, INCLUSO IÇAMENTO. AF_07/2019</t>
  </si>
  <si>
    <t>CALHA EM CHAPA METÁLICA Nº 24 DESENVOLVIMENTO DE 50M</t>
  </si>
  <si>
    <t xml:space="preserve">CONCRETO FCK = 15MPA, TRAÇO 1:3,4:3,5 (EM MASSA SECA DE CIMENTO/ AREIA MÉDIA/ BRITA 1) - PREPARO MECÂNICO COM BETONEIRA 400 L. AF_05/2021        </t>
  </si>
  <si>
    <t>ESTACA</t>
  </si>
  <si>
    <t xml:space="preserve">ARMAÇÃO DE PILAR OU VIGA DE DE UMA ESTRUTURA CONVENCIONAL DE CONCRETO ARMADO CA-50 DE 8MM </t>
  </si>
  <si>
    <t>LASTRO DE VALA COM PREPARO</t>
  </si>
  <si>
    <t xml:space="preserve"> FABRICAÇÃO, MONTAGEM E DESMONTAGEM DE FÔRMA PARA VIGA DE BALDRAME </t>
  </si>
  <si>
    <t>ARMAÇÃO DE BLOCO VIGA DE BALDRAME AÇO CA-50 10MM</t>
  </si>
  <si>
    <t>ARMAÇÃO DE BLOCO VIGA DE BALDRAME AÇO CA-50 5MM</t>
  </si>
  <si>
    <t>IMPERMEABILIZAÇÃO DE ESTRUTURAS ENTERRADAS</t>
  </si>
  <si>
    <t>FORMA DE PILAR</t>
  </si>
  <si>
    <t>ARMAÇÃO DE VIGA AÇO CA-50 DE 8MM</t>
  </si>
  <si>
    <t xml:space="preserve">CONCRETO FCK = 15MPA, TRAÇO 1:3,4:3,5 (EM MASSA SECA DE CIMENTO/ AREIA MÉDIA/ BRITA 1) - PREPARO MECÂNICO COM BETONEIRA 400 L. AF_05/2021   </t>
  </si>
  <si>
    <t>ARMAÇÃO DE VIGA AÇO CA-50 DE 6,3MM</t>
  </si>
  <si>
    <t>ATERRO MECANIZADO DE VALA COM ESCAVADEIRA HIDRÁULICA (CAPACIDADE DA CAÇAMBA: 0,8 M³ / POTÊNCIA: 111 HP), LARGURA DE 1,5 A 2,5 M, PROFUNDIDADE ATÉ 1,5 M, COM SOLO ARGILO-ARENOSO. AF_05/2016</t>
  </si>
  <si>
    <t>ARMAÇÃO DE PILAR OU VIGA DE UMA ESTRUTURA CONVENCIONAL DE CONCRETO ARMADO EM UMA EDIFICAÇÃO TÉRREA OU SOBRADO UTILIZANDO AÇO CA-50 DE 10,0 MM - MONTAGEM. AF_12/2015</t>
  </si>
  <si>
    <t xml:space="preserve"> ARMAÇÃO DE PILAR OU VIGA DE UMA ESTRUTURA CONVENCIONAL DE CONCRETO ARMADO EM UMA EDIFICAÇÃO TÉRREA OU SOBRADO UTILIZANDO AÇO CA-60 DE 5,0 MM- MONTAGEM. AF_12/2015</t>
  </si>
  <si>
    <t>ARMAÇÃO DE PILAR OU VIGA DE UMA ESTRUTURA CONVENCIONAL DE CONCRETO ARMADO EM UMA EDIFICAÇÃO TÉRREA OU SOBRADO UTILIZANDO AÇO CA-50 DE 8,0 MM- MONTAGEM. AF_12/2015</t>
  </si>
  <si>
    <t>ARMAÇÃO DE PILAR OU VIGA DE UMA ESTRUTURA CONVENCIONAL DE CONCRETO ARMADO EM UMA EDIFICAÇÃO TÉRREA OU SOBRADO UTILIZANDO AÇO CA-50 DE 6,3 MM- MONTAGEM. AF_12/2015</t>
  </si>
  <si>
    <t>CHAPISCO APLICADO EM ALVENARIAS E ESTRUTURAS DE CONCRETO INTERNAS, COM COLHER DE PEDREIRO. ARGAMASSA TRAÇO 1:3 COM PREPARO EM BETONEIRA 400 L. AF_06/2014</t>
  </si>
  <si>
    <t>EMBOÇO OU MASSA ÚNICA EM ARGAMASSA TRAÇO 1:2:8, PREPARO MANUAL, APLICADA MANUALMENTE EM PANOS DE FACHADA COM PRESENÇA DE VÃOS, ESPESSURA DE 25 MM. AF_06/2014</t>
  </si>
  <si>
    <t>H</t>
  </si>
  <si>
    <t>88495</t>
  </si>
  <si>
    <t>APLICAÇÃO E LIXAMENTO DE MASSA LÁTEX EM PAREDES, UMA DEMÃO. AF_06/2014</t>
  </si>
  <si>
    <t>REVESTIMENTO CERÂMICO PARA PAREDES INTERNAS COM PLACAS TIPO ESMALTADA EXTRA DE DIMENSÕES 33X45CM APLICADAS EM AMBIENTES DE ÁREA MAIOR QUE 5M² NA ALTURA INTEIRA DA PAREDE</t>
  </si>
  <si>
    <t xml:space="preserve"> ALVENARIA ESTRUTURAL DE BLOCOS CERÂMICOS 14X19X39, (ESPESSURA DE 14 CM), PARA PAREDES COM ÁREA LÍQUIDA MENOR QUE 6M², SEM VÃOS, UTILIZANDO PALHETA E ARGAMASSA DE ASSENTAMENTO COM PREPARO MANUAL. AF_12/2014 (PEDRA GRES)</t>
  </si>
  <si>
    <t xml:space="preserve"> DIMMER ROTATIVO (1 MÓDULO), 220V/600W, INCLUINDO SUPORTE E PLACA - FORNECIMENTO E INSTALAÇÃO. AF_09/2017</t>
  </si>
  <si>
    <t>4.1.1</t>
  </si>
  <si>
    <t>4.1.2</t>
  </si>
  <si>
    <t>4.1.3</t>
  </si>
  <si>
    <t>4.2.1</t>
  </si>
  <si>
    <t>4.2.2</t>
  </si>
  <si>
    <t>4.2.3</t>
  </si>
  <si>
    <t>2.1.1</t>
  </si>
  <si>
    <t>2.1.2</t>
  </si>
  <si>
    <t>2.1.3</t>
  </si>
  <si>
    <t>2.2.1</t>
  </si>
  <si>
    <t>2.2.2</t>
  </si>
  <si>
    <t>2.2.3</t>
  </si>
  <si>
    <t>4.2.4</t>
  </si>
  <si>
    <t>4.2.5</t>
  </si>
  <si>
    <t>6.1</t>
  </si>
  <si>
    <t>8.5</t>
  </si>
  <si>
    <t>8.6</t>
  </si>
  <si>
    <t>9.1</t>
  </si>
  <si>
    <t>3.1.1</t>
  </si>
  <si>
    <t>3.1.2</t>
  </si>
  <si>
    <t>3.1.3</t>
  </si>
  <si>
    <t>3.2.1</t>
  </si>
  <si>
    <t>3.2.2</t>
  </si>
  <si>
    <t>JANELA DE ALUMÍNIO TIPO MAXIM-AR, COM VIDROS, BATENTE E FERRAGENS. EXC 
LUSIVE ALIZAR, ACABAMENTO E CONTRAMARCO. FORNECIMENTO E INSTALAÇÃO. AF
_12/2019</t>
  </si>
  <si>
    <t>CONTRAPISO EM ARGAMASSA PRONTA, PREPARO MANUAL, APLICADO EM ÁREAS MOLH ADAS SOBRE IMPERMEABILIZAÇÃO, ACABAMENTO NÃO REFORÇADO, ESPESSURA 4CM.
AF_07/2021</t>
  </si>
  <si>
    <t>PORTA DE MADEIRA PARA PINTURA, SEMI-OCA (LEVE OU MÉDIA), 90X210CM, ESPESSURA DE 3,5CM, INCLUSO DOBRADIÇAS - FORNECIMENTO E INSTALAÇÃO. AF_12
/2019</t>
  </si>
  <si>
    <t>6.1.1</t>
  </si>
  <si>
    <t>6.1.2</t>
  </si>
  <si>
    <t>6.2.1</t>
  </si>
  <si>
    <t>6.2.2</t>
  </si>
  <si>
    <t>TELHAMENTO COM TELHA METÁLICA TERMOACÚSTICA E = 30 MM, COM ATÉ 2 ÁGUAS, INCLUSO IÇAMENTO. AF_07/2019</t>
  </si>
  <si>
    <t>5.1.1</t>
  </si>
  <si>
    <t>5.2.1</t>
  </si>
  <si>
    <t>5.2.2</t>
  </si>
  <si>
    <t>CAIXA D´ÁGUA EM POLIETILENO, 500LITROS (INCLUSOS TUBOS, CONEXÕES E TORNEIRA DE BÓIA) - FORNECIMENTO E INSTALAÇÃO. AF_06/2021</t>
  </si>
  <si>
    <t>INTERRUPTOR SIMPLES (2 MÓDULOS) COM 1 TOMADA DE EMBUTIR 2P+T 10 A, INCLUINDO SUPORTE E PLACA - FORNECIMENTO E INSTALAÇÃO. AF_12/2015</t>
  </si>
  <si>
    <t xml:space="preserve"> LUMINARIA ARANDELA TIPO MEIA-LUA COM VIDRO FOSCO *30 X 15* CM, PARA 1 LAMP</t>
  </si>
  <si>
    <t>89731 JOELHO 90 GRAUS, PVC</t>
  </si>
  <si>
    <t>1.1.1</t>
  </si>
  <si>
    <t>1.1.2</t>
  </si>
  <si>
    <t>1.1.3</t>
  </si>
  <si>
    <t>1.2.1</t>
  </si>
  <si>
    <t>1.2.2</t>
  </si>
  <si>
    <t>1.2.3</t>
  </si>
  <si>
    <t>1.2.4</t>
  </si>
  <si>
    <t>1.2.5</t>
  </si>
  <si>
    <t>1.2.6</t>
  </si>
  <si>
    <t>1.3</t>
  </si>
  <si>
    <t>1.3.1</t>
  </si>
  <si>
    <t>1.3.2</t>
  </si>
  <si>
    <t>1.3.3</t>
  </si>
  <si>
    <t>1.3.4</t>
  </si>
  <si>
    <t>1.5</t>
  </si>
  <si>
    <t xml:space="preserve"> LAJE PRÉ-MOLDADA UNIDIRECIONAL, BIAPOIADA, PARA PISO, ENCHIMENTO EM CERÂMICA, VIGOTA CONVENCIONAL, ALTURA TOTAL DA LAJE (ENCHIMENTO+CAPA) (8+4). AF_11/2020        </t>
  </si>
  <si>
    <t>1.5.1</t>
  </si>
  <si>
    <t>1.6</t>
  </si>
  <si>
    <t>1.6.2</t>
  </si>
  <si>
    <t>1.6.3</t>
  </si>
  <si>
    <t>1.6.4</t>
  </si>
  <si>
    <t>1.7</t>
  </si>
  <si>
    <t>1.7.1</t>
  </si>
  <si>
    <t>1.7.2</t>
  </si>
  <si>
    <t>1.7.3</t>
  </si>
  <si>
    <t>1.7.4</t>
  </si>
  <si>
    <t>1.8</t>
  </si>
  <si>
    <t>1.8.1</t>
  </si>
  <si>
    <t>1.9</t>
  </si>
  <si>
    <t>1.9.1</t>
  </si>
  <si>
    <t>1.9.2</t>
  </si>
  <si>
    <t>1.9.3</t>
  </si>
  <si>
    <t>2.1.4</t>
  </si>
  <si>
    <t>3.3</t>
  </si>
  <si>
    <t>3.3.1</t>
  </si>
  <si>
    <t>3.3.2</t>
  </si>
  <si>
    <t>3.3.3</t>
  </si>
  <si>
    <t>3.4</t>
  </si>
  <si>
    <t>3.4.1</t>
  </si>
  <si>
    <t>3.4.2</t>
  </si>
  <si>
    <t>3.4.3</t>
  </si>
  <si>
    <t>3.4.4</t>
  </si>
  <si>
    <t>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</si>
  <si>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</si>
  <si>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</si>
  <si>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</si>
  <si>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</si>
  <si>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</si>
  <si>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</si>
  <si>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</si>
  <si>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</si>
  <si>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4.2.6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</si>
  <si>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</si>
  <si>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</si>
  <si>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</si>
  <si>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</si>
  <si>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</si>
  <si>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</si>
  <si>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</si>
  <si>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</si>
  <si>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</si>
  <si>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</si>
  <si>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</si>
  <si>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</si>
  <si>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</si>
  <si>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</si>
  <si>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</si>
  <si>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</si>
  <si>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</si>
  <si>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</si>
  <si>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</si>
  <si>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</si>
  <si>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</si>
  <si>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</si>
  <si>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6.2.11</t>
  </si>
  <si>
    <t>6.2.12</t>
  </si>
  <si>
    <t>6.2.13</t>
  </si>
  <si>
    <t>6.2.14</t>
  </si>
  <si>
    <t>6.2.15</t>
  </si>
  <si>
    <t>6.2.16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</si>
  <si>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</si>
  <si>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</si>
  <si>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</si>
  <si>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</si>
  <si>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</si>
  <si>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</si>
  <si>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</si>
  <si>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</si>
  <si>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8</t>
  </si>
  <si>
    <t>8.1.1</t>
  </si>
  <si>
    <t>8.1.2</t>
  </si>
  <si>
    <t>8.2.1</t>
  </si>
  <si>
    <t>8.2.2</t>
  </si>
  <si>
    <t>8.3.1</t>
  </si>
  <si>
    <t>8.4.1</t>
  </si>
  <si>
    <t>8.5.1</t>
  </si>
  <si>
    <t>8.6.1</t>
  </si>
  <si>
    <t>Planejamento</t>
  </si>
  <si>
    <t>DESCRIÇÃO DOS SERVIÇOS</t>
  </si>
  <si>
    <t>% ITEM</t>
  </si>
  <si>
    <t>1 Mês</t>
  </si>
  <si>
    <t>2 Mês</t>
  </si>
  <si>
    <t>3 Mês</t>
  </si>
  <si>
    <t>4 Mês</t>
  </si>
  <si>
    <t>5 Mês</t>
  </si>
  <si>
    <t>6 Mês</t>
  </si>
  <si>
    <t xml:space="preserve">ESQUADRIAS </t>
  </si>
  <si>
    <t>FECHAMENTO E ALVENARIA PAREDES</t>
  </si>
  <si>
    <t>INSTALAÇÕES ELÉTRICAS</t>
  </si>
  <si>
    <t>INSTALAÇÕES HIDROSSANITÁRIAS</t>
  </si>
  <si>
    <t>CONTRAPISO COM ARGAMASSA AUTONIVELANTE, APLICADO SOBRE LAJE, ADERIDO, M2 CR 17,92
ESPESSURA 2CM. AF_07/2021</t>
  </si>
  <si>
    <t>SUMIDOURO CIRCULAR, EM CONCRETO PRÉ-MOLDADO, DIÂMETRO INTERNO = 1,88 M, ALTURA INTERNA = 2,00 M, ÁREA DE INFILTRAÇÃO: 13,1 M² (PARA 5 CONTRIBUINTES). AF_12/2020</t>
  </si>
  <si>
    <t xml:space="preserve"> TANQUE SÉPTICO CIRCULAR, EM CONCRETO PRÉ-MOLDADO, DIÂMETRO INTERNO = 1 ,10 M, ALTURA INTERNA = 2,50 M, VOLUME ÚTIL: 2138,2 L (PARA 5 CONTRIBU
INTES). AF_12/2020</t>
  </si>
  <si>
    <t>FILTRO ANAERÓBIO CIRCULAR, EM CONCRETO PRÉ-MOLDADO, DIÂMETRO INTERNO =1,10 M, ALTURA INTERNA = 1,50 M, VOLUME ÚTIL: 1140,4 L (PARA 5 CONTRIBUINTES). AF_12/2020</t>
  </si>
  <si>
    <t>CAIXA DE INSPEÇÃO PARA ATERRAMENTO, CIRCULAR, EM POLIETILENO, DIÂMETRO INTERNO = 0,3 M. AF_12/2020</t>
  </si>
  <si>
    <t xml:space="preserve"> CAIXA DE GORDURA PEQUENA (CAPACIDADE: 19 L), CIRCULAR, EM PVC, DIÂMETR O INTERNO= 0,3 M. AF_12/2020</t>
  </si>
  <si>
    <t>CABO DE COBRE FLEXÍVEL ISOLADO, 10 MM², ANTI-CHAMA 450/750 V, PARA CIR CUITOS TERMINAIS - FORNECIMENTO E INSTALAÇÃO. AF_12/2015</t>
  </si>
  <si>
    <t>6.1.17</t>
  </si>
  <si>
    <t>88489</t>
  </si>
  <si>
    <t>APLICAÇÃO MANUAL DE PINTURA COM TINTA LÁTEX ACRÍLICA EM PAREDES, DUASDEMÃOS. AF_06/2014</t>
  </si>
  <si>
    <t xml:space="preserve">PLANTIO DE GRAMA EM PLACAS. AF_05/2018 </t>
  </si>
  <si>
    <t>CORRIMÃO SIMPLES, DIÂMETRO EXTERNO = 1 1/2", EM AÇO GALVANIZADO. AF_04/2019_P</t>
  </si>
  <si>
    <t>ESCADA/GUARDA-CORPO</t>
  </si>
  <si>
    <t>9.2</t>
  </si>
  <si>
    <t>SERVIÇOS FINAIS</t>
  </si>
  <si>
    <t>LIMPEZA FINAL DE OBRA</t>
  </si>
  <si>
    <t>FUNDAÇÕES E ESTRUTURAS</t>
  </si>
  <si>
    <t>7Mês</t>
  </si>
  <si>
    <t>8 Mês</t>
  </si>
  <si>
    <t>GUARDA-CORPO DE AÇO GALVANIZADO DE 1,10M DE ALTURA, MONTANTES TUBULARES DE 1.1/2 ESPAÇADOS DE 1,20M, TRAVESSA SUPERIOR DE 2, GRADIL FORMADO POR BARRAS CHATAS EM FERRO DE 32X4,8MM, FIXADO COM CHUMBADOR MECÂNIC</t>
  </si>
  <si>
    <t>CINTA AMARRAÇÃO TELHADO</t>
  </si>
  <si>
    <t xml:space="preserve">MURO </t>
  </si>
  <si>
    <t xml:space="preserve">SUB TOTAL </t>
  </si>
  <si>
    <r>
      <rPr>
        <b/>
        <sz val="10"/>
        <rFont val="Arial"/>
        <family val="2"/>
        <scheme val="minor"/>
      </rPr>
      <t>SUB TOTAL</t>
    </r>
    <r>
      <rPr>
        <sz val="10"/>
        <rFont val="Arial"/>
        <family val="2"/>
        <scheme val="minor"/>
      </rPr>
      <t xml:space="preserve"> </t>
    </r>
  </si>
  <si>
    <t>VALOR MATERIAL           (R$)</t>
  </si>
  <si>
    <t>VALORES TOTAIS</t>
  </si>
  <si>
    <t>ALVENARIAS</t>
  </si>
  <si>
    <t>FUNDAÇÃO</t>
  </si>
  <si>
    <t>EXECUÇÃO DE COBERTURA DE ALUZINK DE NO MÍNIMO 250m²</t>
  </si>
  <si>
    <t>EXECUÇÃO DE ALVENARIAS DE NO MÍNIMO 200m²</t>
  </si>
  <si>
    <t xml:space="preserve">EXECUÇÃO DE FUNDAÇÃO E ESTRUTURAS DE NO MÍNIMO 8m³  </t>
  </si>
  <si>
    <t xml:space="preserve">INFRAESTRUTURA/SUPRA-ESTRUTURA </t>
  </si>
  <si>
    <t xml:space="preserve">VIGA DE BALDRAME </t>
  </si>
  <si>
    <t xml:space="preserve">PILARES </t>
  </si>
  <si>
    <t xml:space="preserve">LAJE </t>
  </si>
  <si>
    <t xml:space="preserve">VIGAS/CINTAS </t>
  </si>
  <si>
    <t xml:space="preserve">VIGA DE BALDRAME COZINHA </t>
  </si>
  <si>
    <t>FUNDAÇÃO E ESTRUTURA EMEI JOÃO CERNICCHIARO</t>
  </si>
  <si>
    <t>TOTAL FUNDAÇÃO E ESTRUTURA EMEI JOÃO CERNICCHIARO</t>
  </si>
  <si>
    <t>TOTAL FUNDAÇÃO E ESTRUTURA EMEF JOÃO CERNICCHIARO</t>
  </si>
  <si>
    <t>TOTAL FUNDAÇÃO E ESTRUTURA EMEI + EMEF JOÃO CERNICCHIARO</t>
  </si>
  <si>
    <t>EMEI JOÃO CERNICCHIARO</t>
  </si>
  <si>
    <t>JANELAS EMEI JOÃO CERNICCHIARO</t>
  </si>
  <si>
    <t>TOTAL JANELAS EMEF + EMEI</t>
  </si>
  <si>
    <t>TOTAL FECHAMENTOS E ALVENARIA PAREDES EMEF + EMEI</t>
  </si>
  <si>
    <t>PORTAS EMEI JOÃO CERNICCHIARO</t>
  </si>
  <si>
    <t>TOTAL PORTAS EMEF+ EMEI</t>
  </si>
  <si>
    <t>COBERTURA EMEI JOÃO CERNICCHIARO</t>
  </si>
  <si>
    <t>TOTAL COBERTURA EMEF + EMEI</t>
  </si>
  <si>
    <t>PISOS EMEI JOÃO CERNICCHIARO</t>
  </si>
  <si>
    <t>TOTAL PISOS EMEF + EMEI</t>
  </si>
  <si>
    <t>INSTALAÇÕES ELÉTRICAS EMEI JOÃO CERNICCHIARO</t>
  </si>
  <si>
    <t>TOTAL ELÉTRICA EMEF + EMEI</t>
  </si>
  <si>
    <t>PINTURA ESQUADRIAS EMEI JOÃO CERNICCHIARO</t>
  </si>
  <si>
    <t>PINTURA ALVENARIA EXTERNA EMEI JOÃO CERNICCHIARO</t>
  </si>
  <si>
    <t>PINTURA ALVENARIA INTERNA EMEI JOÃO CERNICCHIARO</t>
  </si>
  <si>
    <t>TOTAL PINTURA EMEF EMEI</t>
  </si>
  <si>
    <t>INSTALAÇÕES ÁGUA FRIA EMEI JOÃO CERNICCHIARO</t>
  </si>
  <si>
    <t>INSTALAÇÕES ESGOTO EMEI JOÃO CERNICCHIARO</t>
  </si>
  <si>
    <t>JOELHO PVC, 45º  FORNEC. E INSTALAÇÃO</t>
  </si>
  <si>
    <t>SERVIÇOS FINAIS EMEI JOÃO CERNICCHIARO</t>
  </si>
  <si>
    <t>TOTAL SERVIÇOS FINAIS EMEF + EMEI</t>
  </si>
  <si>
    <t>1.9.4</t>
  </si>
  <si>
    <t>7.2</t>
  </si>
  <si>
    <t>7.2.1</t>
  </si>
  <si>
    <t>7.2.2</t>
  </si>
  <si>
    <t>7.2.3</t>
  </si>
  <si>
    <t>7.2.4</t>
  </si>
  <si>
    <t>7.2.5</t>
  </si>
  <si>
    <t>7.2.6</t>
  </si>
  <si>
    <t>7.3</t>
  </si>
  <si>
    <t>7.3.1</t>
  </si>
  <si>
    <t>7.4</t>
  </si>
  <si>
    <t>7.4.1</t>
  </si>
  <si>
    <t>7.4.2</t>
  </si>
  <si>
    <t>7.4.3</t>
  </si>
  <si>
    <t>7.4.4</t>
  </si>
  <si>
    <t>7.4.5</t>
  </si>
  <si>
    <t>7.4.6</t>
  </si>
  <si>
    <t>7.4.7</t>
  </si>
  <si>
    <t>7.4.8</t>
  </si>
  <si>
    <t>7.4.9</t>
  </si>
  <si>
    <t>7.4.10</t>
  </si>
  <si>
    <t>8.1.3</t>
  </si>
  <si>
    <t>10.1</t>
  </si>
  <si>
    <t>10.1.1</t>
  </si>
  <si>
    <t xml:space="preserve"> ALVENARIA DE VEDAÇÃO DE BLOCOS CERÂMICOS FURADOS NA HORIZONTAL DE 14X9X19CM (ESPESSURA 14CM, BLOCO DEITADO)</t>
  </si>
  <si>
    <t xml:space="preserve"> ALVENARIA DE VEDAÇÃO DE BLOCOS CERÂMICOS FURADOS NA HORIZONTAL DE 14X9X19CM (ESPESSURA 14CM, BLOCO DEITADO) </t>
  </si>
  <si>
    <t>(COMPOSIÇÃO REPRESENTATIVA) DO SERVIÇO DE INSTALAÇÃO DE TUBOS DE PVC, SOLDÁVEL, ÁGUA FRIA, DN 25 MM (INSTALADO EM RAMAL, SUB-RAMAL, RAMAL DE DISTRIBUIÇÃO OU PRUMADA), INCLUSIVE CONEXÕES, CORTES E FIXAÇÕES, PARA PRÉDIOS. AF_10/2015</t>
  </si>
  <si>
    <t>KIT DE REGISTRO DE GAVETA BRUTO DE LATÃO ¾", INCLUSIVE CONEXÕES, ROSCÁVEL, INSTALADO EM RAMAL DE ÁGUA FRIA - FORNECIMENTO E INSTALAÇÃO. AF_12/2014</t>
  </si>
  <si>
    <t>7.1.9</t>
  </si>
  <si>
    <t>7.2.8</t>
  </si>
  <si>
    <t>TOTAL EMEF JOÃO CERNICCHIARO</t>
  </si>
  <si>
    <t>TOTAL EMEI JOÃO CERNICCHIARO</t>
  </si>
  <si>
    <t>TOTAL GERAL EMEF + EMEI (R$)</t>
  </si>
  <si>
    <t>FECHAMENTOS E ALVENARIA PAREDES</t>
  </si>
  <si>
    <t xml:space="preserve">TOTAL FECHAMENTOS E ALVENARIA PAREDES EMEF </t>
  </si>
  <si>
    <t>TOTAL FECHAMENTOS E ALVENARIAS EMEI</t>
  </si>
  <si>
    <t>TOTAL JANELAS EMEF</t>
  </si>
  <si>
    <t>TOTAL JANELAS EMEI</t>
  </si>
  <si>
    <t>SUB TOTAL</t>
  </si>
  <si>
    <t>TOTAL PORTAS EMEI</t>
  </si>
  <si>
    <t>TOTAL COBERTURA EMEF</t>
  </si>
  <si>
    <t>TOTAL COBERTURA EMEI</t>
  </si>
  <si>
    <t>TOTAL PISOS EMEF</t>
  </si>
  <si>
    <t>TOTAL PISOS EMEI</t>
  </si>
  <si>
    <t>TOTAL ELÉTRICA EMEI</t>
  </si>
  <si>
    <t>TOTAL ÁGUA FRIA EMEI</t>
  </si>
  <si>
    <t>TOTAL ÁGUA FRIA EMEF + EMEI</t>
  </si>
  <si>
    <t>TOTAL ESGOTO EMEI</t>
  </si>
  <si>
    <t>TOTAL ESGOTO EMEF+ EMEI</t>
  </si>
  <si>
    <t>TOTAL PINTURA ESQUADRIAS EMEF</t>
  </si>
  <si>
    <t>TOTAL PINTURA ESQUADRIAS EMEI</t>
  </si>
  <si>
    <t>TOTAL PINTURA ESQUADRIAS EMEF + EMEI</t>
  </si>
  <si>
    <t>TOTAL PINTURA ALVENARIA EXTERNA EMEI</t>
  </si>
  <si>
    <t>TOTAL PINTURA ALVENARIA EXTERNA EMEF + EMEI</t>
  </si>
  <si>
    <t>TOTAL PINTURA ALVENARIA INTERNA EMEI</t>
  </si>
  <si>
    <t xml:space="preserve">TOTAL SERVIÇOS FINAIS EMEI </t>
  </si>
  <si>
    <t xml:space="preserve">FUNDAÇÃO E ESTRUTURA EMEF JOÃO CERNICCHIARO REFORMA </t>
  </si>
  <si>
    <t xml:space="preserve">CINTA AMARRAÇÃO TELHADO REFORMA </t>
  </si>
  <si>
    <t xml:space="preserve">TOTAL REFORMA EMEF </t>
  </si>
  <si>
    <t xml:space="preserve">TOTAL AMPLIAÇÃO </t>
  </si>
  <si>
    <t xml:space="preserve">FUNDAÇÃO E ESTRUTURA EMEF JOÃO CERNICCHIARO AMPLIAÇÃO </t>
  </si>
  <si>
    <t>EMEF JOÃO CERNICCHIARO REFORMA</t>
  </si>
  <si>
    <t>EMEF JOÃO CERNICCHIARO AMPLIAÇÃO</t>
  </si>
  <si>
    <t>TOTAL EMEF REFORMAS</t>
  </si>
  <si>
    <t>TOTAL EMEF AMPLIAÇÃO</t>
  </si>
  <si>
    <t>JANELAS EMEF JOÃO CERNICCHIARO REFORMA</t>
  </si>
  <si>
    <t>JANELAS EMEF JOÃO CERNICCHIARO AMPLIAÇÃO</t>
  </si>
  <si>
    <t>TOTAL EMEF REFEORMA</t>
  </si>
  <si>
    <t>PORTAS EMEF JOÃO CERNICCHIARO REFORMA</t>
  </si>
  <si>
    <t>TOTAL PORTAS EMEF REFORMA</t>
  </si>
  <si>
    <t>COBERTURA EMEF JOÃO CERNICCHIARO REFORMA</t>
  </si>
  <si>
    <t>COBERTURA EMEF JOÃO CERNICCHIARO AMPLIAÇÃO</t>
  </si>
  <si>
    <t>TOTAL EMEF REFORMA</t>
  </si>
  <si>
    <t>PISOS EMEF JOÃO CERNICCHIARO REFORMA</t>
  </si>
  <si>
    <t>PISOS EMEF JOÃO CERNICCHIARO AMPLIAÇÃO</t>
  </si>
  <si>
    <t>TOTAL PISOS EMEF REFORMA</t>
  </si>
  <si>
    <t>TOTAL PISOS EMEF AMPLIAÇÃO</t>
  </si>
  <si>
    <t>INSTALAÇÕES ELÉTRICAS EMEF JOÃO CERNICCHIARO REFORMA</t>
  </si>
  <si>
    <t>TOTAL ELÉTRICA EMEF REFORMA</t>
  </si>
  <si>
    <t>INSTALAÇÕES ÁGUA FRIA EMEF JOÃO CERNICCHIARO REFORMA</t>
  </si>
  <si>
    <t>TOTAL ÁGUA FRIA EMEF REFORMA</t>
  </si>
  <si>
    <t>INSTALAÇÕES ESGOTO EMEF JOÃO CERNICCHIARO REFORMA</t>
  </si>
  <si>
    <t>TOTAL ESGOTO EMEF REFORMA</t>
  </si>
  <si>
    <t>PINTURA ESQUADRIAS EMEF JOÃO CERNICCHIARO REFORMA</t>
  </si>
  <si>
    <t>PINTURA ESQUADRIAS EMEF JOÃO CERNICCHIARO AMPLIAÇÃO</t>
  </si>
  <si>
    <t>TOTAL PINTURA ESQUADRIAS EMEF REFORMA</t>
  </si>
  <si>
    <t>TOTAL PINTURA ESQUADRIAS EMEF AMPLIAÇÃO</t>
  </si>
  <si>
    <t>PINTURA ALVENARIA EXTERNA EMEF JOÃO CERNICCHIARO REFORMA</t>
  </si>
  <si>
    <t>PINTURA ALVENARIA EXTERNA EMEF JOÃO CERNICCHIARO AMPLIAÇÃO</t>
  </si>
  <si>
    <t>TOTAL PINTURA EXTERNA EMEF REFORMA</t>
  </si>
  <si>
    <t>TOTAL PINTURA EXTERNA EMEF AMPLIAÇÃO</t>
  </si>
  <si>
    <t xml:space="preserve">TOTAL PINTURA ALVENARIA EXTERNA EMEF </t>
  </si>
  <si>
    <t>PINTURA ALVENARIA INTERNA EMEF JOÃO CERNICCHIARO REFORMA</t>
  </si>
  <si>
    <t>TOTAL PINTURA ALVENARIA INTERNA EMEF REFORMA</t>
  </si>
  <si>
    <t>SUBTOTAL</t>
  </si>
  <si>
    <t>TOTAL DO ITEM EMEF REFORMA</t>
  </si>
  <si>
    <t>ESCADA EMEF JOÃO CERNICCHIARO REFORMA</t>
  </si>
  <si>
    <t>GUARDA CORPO EMEI JOÃO CERNICCHIARO</t>
  </si>
  <si>
    <t>TOTAL DO ITEM EMEI</t>
  </si>
  <si>
    <t>SERVIÇOS FINAIS EMEF JOÃO CERNICCHIARO REFORMA</t>
  </si>
  <si>
    <t>TOTAL SERVIÇOS FINAIS EMEF REFORMA</t>
  </si>
  <si>
    <t>TOTAL EMEF JOÃO CERNICCHIARO REFORMA</t>
  </si>
  <si>
    <t>TOTAL EMEF JOÃO CERNICCHIARO AMPLIAÇÃO</t>
  </si>
  <si>
    <t>MURO EMEF JOÃO CERNICCHIARO REFORMA</t>
  </si>
  <si>
    <t>ARMAÇÃO DE PILAR OU VIGA EM UMA ESTRUTURA CONVENCIONAL DE CONCRETO ARMADO EM UMA EDIFICAÇÃO TÉRREA OU SOBRADO UTILIZANDO AÇO CA-60 DE 5,0MM MONTAGEM</t>
  </si>
  <si>
    <t>ARMAÇÃO DE PILAR OU VIGA EM UMA ESTRUTURA CONVENCIONAL DE CONCRETO ARMADO EM UMA EDIFICAÇÃO TÉRREA OU SOBRADO UTILIZANDO AÇO CA-60 DE 6,3MM MONTAGEM</t>
  </si>
  <si>
    <t>TELA DE ARAME GALVANIZADO</t>
  </si>
  <si>
    <t xml:space="preserve">CONCRETO FCK=15MPA </t>
  </si>
  <si>
    <t>TOTAL MURO EMEF REFORMA</t>
  </si>
  <si>
    <t>1.2.7</t>
  </si>
  <si>
    <t>1.4</t>
  </si>
  <si>
    <t>1.4.1</t>
  </si>
  <si>
    <t>1.4.2</t>
  </si>
  <si>
    <t>1.4.3</t>
  </si>
  <si>
    <t>1.5.2</t>
  </si>
  <si>
    <t>1.5.3</t>
  </si>
  <si>
    <t>1.6.5</t>
  </si>
  <si>
    <t>1.6.6</t>
  </si>
  <si>
    <t>1.7.5</t>
  </si>
  <si>
    <t>2.2.5</t>
  </si>
  <si>
    <t>2.3</t>
  </si>
  <si>
    <t>2.3.1</t>
  </si>
  <si>
    <t>2.3.2</t>
  </si>
  <si>
    <t>2.3.3</t>
  </si>
  <si>
    <t>3.4.5</t>
  </si>
  <si>
    <t>3.5</t>
  </si>
  <si>
    <t>3.5.1</t>
  </si>
  <si>
    <t>3.5.2</t>
  </si>
  <si>
    <t>3.5.3</t>
  </si>
  <si>
    <t>3.5.4</t>
  </si>
  <si>
    <t>4.3</t>
  </si>
  <si>
    <t>4.3.1</t>
  </si>
  <si>
    <t>4.3.2</t>
  </si>
  <si>
    <t>4.3.3</t>
  </si>
  <si>
    <t>4.3.4</t>
  </si>
  <si>
    <t>4.3.5</t>
  </si>
  <si>
    <t>4.3.6</t>
  </si>
  <si>
    <t>5.3</t>
  </si>
  <si>
    <t>5.3.1</t>
  </si>
  <si>
    <t>5.3.2</t>
  </si>
  <si>
    <t>5.3.3</t>
  </si>
  <si>
    <t>8.3.2</t>
  </si>
  <si>
    <t>8.3.3</t>
  </si>
  <si>
    <t>8.7</t>
  </si>
  <si>
    <t>8.7.1</t>
  </si>
  <si>
    <t>8.7.2</t>
  </si>
  <si>
    <t>8.8</t>
  </si>
  <si>
    <t>8.8.1</t>
  </si>
  <si>
    <t>8.8.2</t>
  </si>
  <si>
    <t>9.1.1</t>
  </si>
  <si>
    <t>9.1.2</t>
  </si>
  <si>
    <t>9.2.1</t>
  </si>
  <si>
    <t>10.1.2</t>
  </si>
  <si>
    <t>10.1.3</t>
  </si>
  <si>
    <t>10.1.4</t>
  </si>
  <si>
    <t>10.1.5</t>
  </si>
  <si>
    <t>10.1.6</t>
  </si>
  <si>
    <t>10.1.7</t>
  </si>
  <si>
    <t>10.1.9</t>
  </si>
  <si>
    <t>11.1</t>
  </si>
  <si>
    <t>11.1.1</t>
  </si>
  <si>
    <t>11.2</t>
  </si>
  <si>
    <t>11.2.1</t>
  </si>
  <si>
    <t>EMEF REFORMA</t>
  </si>
  <si>
    <t xml:space="preserve">EMEF AMPLIAÇÃO </t>
  </si>
  <si>
    <t>EMEI</t>
  </si>
  <si>
    <t>EMEF AMPLIAÇÃO</t>
  </si>
  <si>
    <t>VALOR$)</t>
  </si>
  <si>
    <t>SINAPI_Custo_Ref_Composicoes_Analitico_RS_202201_NaoDesonerado.xls (considerou a Lei 13.161/2015 referente à esoneração Previdenciária)</t>
  </si>
  <si>
    <t>SINAPI_Preco_Ref_Insumos_RS_012022_NaoDesonerado.XLS (considerou a Lei 13.161/2015 referente à esoneração Previdenciária)</t>
  </si>
  <si>
    <t>PILARES SUBSOLO E TÉRREO COZINHA AMPLIAÇÃO</t>
  </si>
  <si>
    <t>TRAMA DE AÇO COMPOSTA POR TERÇAS PARA TELHADOS DE ATÉ 2 ÁGUAS PARA TELHA ONDULADA DE FIBROCIMENTO, METÁLICA, PLÁSTICA OU TERMOACÚSTICA, INCLUSO TRANSPORTE VERTICAL. AF_12/2015</t>
  </si>
  <si>
    <t>INSTALAÇÃO DE TESOURA (INTEIRA OU MEIA), EM AÇO, PARA VÃOS MAIORES OU
IGUAIS A 8,0 M E MENORES QUE 10,0 M, INCLUSO IÇAMENTO. AF_07/2019</t>
  </si>
  <si>
    <t>INSTALAÇÃO DE TESOURA (INTEIRA OU MEIA), EM AÇO, PARA VÃOS MAIORES OU
IGUAIS A 10,0 M E MENORES QUE 12,0 M, INCLUSO IÇAMENTO. AF_07/2019</t>
  </si>
  <si>
    <t>4.1.13</t>
  </si>
  <si>
    <t>4.1.14</t>
  </si>
  <si>
    <t>4.1.15</t>
  </si>
  <si>
    <t>4.3.7</t>
  </si>
  <si>
    <t>PLANTIO DE GRAMA EM PAVIMENTO CONCREGRAMA</t>
  </si>
  <si>
    <t>5.1.2</t>
  </si>
  <si>
    <t>5.2.3</t>
  </si>
  <si>
    <t>MARIA NAZARÉ DIAS DORNELLES</t>
  </si>
  <si>
    <t xml:space="preserve">Sec. Mun. de Educação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</si>
</sst>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_-* #,##0_-;\-* #,##0_-;_-* &quot;-&quot;??_-;_-@_-"/>
    <numFmt numFmtId="166" formatCode="&quot;R$&quot;#,##0.00"/>
    <numFmt numFmtId="167" formatCode="&quot;R$&quot;\ #,##0.00"/>
    <numFmt numFmtId="168" formatCode="_(* #,##0.00_);_(* \(#,##0.00\);_(* &quot;-&quot;??_);_(@_)"/>
  </numFmts>
  <fonts count="3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sz val="12"/>
      <color indexed="9"/>
      <name val="Arial"/>
      <family val="2"/>
    </font>
    <font>
      <sz val="12"/>
      <color indexed="10"/>
      <name val="Arial"/>
      <family val="2"/>
    </font>
    <font>
      <b/>
      <sz val="12"/>
      <color indexed="9"/>
      <name val="Arial"/>
      <family val="2"/>
    </font>
    <font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u/>
      <sz val="12"/>
      <color indexed="10"/>
      <name val="Arial"/>
      <family val="2"/>
    </font>
    <font>
      <b/>
      <sz val="14"/>
      <name val="Arial"/>
      <family val="2"/>
      <scheme val="major"/>
    </font>
    <font>
      <b/>
      <u/>
      <sz val="12"/>
      <name val="Arial"/>
      <family val="2"/>
      <scheme val="major"/>
    </font>
    <font>
      <sz val="12"/>
      <name val="Arial"/>
      <family val="2"/>
      <scheme val="major"/>
    </font>
    <font>
      <b/>
      <sz val="12"/>
      <name val="Arial"/>
      <family val="2"/>
      <scheme val="major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b/>
      <sz val="10"/>
      <name val="Arial"/>
      <family val="2"/>
      <scheme val="minor"/>
    </font>
    <font>
      <sz val="12"/>
      <color theme="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aj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ajor"/>
    </font>
    <font>
      <sz val="10"/>
      <name val="Arial"/>
    </font>
    <font>
      <b/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6">
    <xf numFmtId="0" fontId="0" fillId="0" borderId="0" xfId="0"/>
    <xf numFmtId="0" fontId="7" fillId="2" borderId="15" xfId="0" applyFont="1" applyFill="1" applyBorder="1" applyAlignment="1" applyProtection="1">
      <alignment horizontal="center" vertical="center" wrapText="1"/>
      <protection hidden="1"/>
    </xf>
    <xf numFmtId="165" fontId="0" fillId="2" borderId="16" xfId="1" applyNumberFormat="1" applyFont="1" applyFill="1" applyBorder="1" applyAlignment="1" applyProtection="1">
      <alignment horizontal="center" vertical="center"/>
      <protection hidden="1"/>
    </xf>
    <xf numFmtId="165" fontId="0" fillId="2" borderId="17" xfId="1" applyNumberFormat="1" applyFont="1" applyFill="1" applyBorder="1" applyAlignment="1" applyProtection="1">
      <alignment horizontal="center" vertical="center"/>
      <protection hidden="1"/>
    </xf>
    <xf numFmtId="165" fontId="0" fillId="2" borderId="18" xfId="1" applyNumberFormat="1" applyFont="1" applyFill="1" applyBorder="1" applyAlignment="1" applyProtection="1">
      <alignment horizontal="center" vertical="center"/>
      <protection hidden="1"/>
    </xf>
    <xf numFmtId="0" fontId="0" fillId="0" borderId="19" xfId="0" applyFill="1" applyBorder="1" applyAlignment="1" applyProtection="1">
      <alignment horizontal="left" vertical="center"/>
      <protection hidden="1"/>
    </xf>
    <xf numFmtId="43" fontId="0" fillId="0" borderId="20" xfId="1" applyFont="1" applyBorder="1" applyAlignment="1" applyProtection="1">
      <alignment horizontal="center" vertical="center"/>
      <protection hidden="1"/>
    </xf>
    <xf numFmtId="43" fontId="0" fillId="0" borderId="5" xfId="1" applyFont="1" applyBorder="1" applyAlignment="1" applyProtection="1">
      <alignment horizontal="center" vertical="center"/>
      <protection hidden="1"/>
    </xf>
    <xf numFmtId="43" fontId="0" fillId="0" borderId="21" xfId="1" applyFont="1" applyBorder="1" applyAlignment="1" applyProtection="1">
      <alignment horizontal="center" vertical="center"/>
      <protection hidden="1"/>
    </xf>
    <xf numFmtId="0" fontId="0" fillId="0" borderId="22" xfId="0" applyFill="1" applyBorder="1" applyAlignment="1" applyProtection="1">
      <alignment horizontal="left" vertical="center"/>
      <protection hidden="1"/>
    </xf>
    <xf numFmtId="43" fontId="0" fillId="0" borderId="23" xfId="1" applyFont="1" applyBorder="1" applyAlignment="1" applyProtection="1">
      <alignment horizontal="center" vertical="center"/>
      <protection hidden="1"/>
    </xf>
    <xf numFmtId="43" fontId="0" fillId="0" borderId="1" xfId="1" applyFont="1" applyBorder="1" applyAlignment="1" applyProtection="1">
      <alignment horizontal="center" vertical="center"/>
      <protection hidden="1"/>
    </xf>
    <xf numFmtId="43" fontId="0" fillId="0" borderId="24" xfId="1" applyFont="1" applyBorder="1" applyAlignment="1" applyProtection="1">
      <alignment horizontal="center" vertical="center"/>
      <protection hidden="1"/>
    </xf>
    <xf numFmtId="0" fontId="0" fillId="0" borderId="25" xfId="0" applyFill="1" applyBorder="1" applyAlignment="1" applyProtection="1">
      <alignment horizontal="left" vertical="center"/>
      <protection hidden="1"/>
    </xf>
    <xf numFmtId="43" fontId="0" fillId="0" borderId="26" xfId="1" applyFont="1" applyBorder="1" applyAlignment="1" applyProtection="1">
      <alignment horizontal="center" vertical="center"/>
      <protection hidden="1"/>
    </xf>
    <xf numFmtId="43" fontId="0" fillId="0" borderId="27" xfId="1" applyFont="1" applyBorder="1" applyAlignment="1" applyProtection="1">
      <alignment horizontal="center" vertical="center"/>
      <protection hidden="1"/>
    </xf>
    <xf numFmtId="43" fontId="0" fillId="0" borderId="28" xfId="1" applyFont="1" applyBorder="1" applyAlignment="1" applyProtection="1">
      <alignment horizontal="center" vertical="center"/>
      <protection hidden="1"/>
    </xf>
    <xf numFmtId="0" fontId="0" fillId="0" borderId="0" xfId="0" applyAlignment="1"/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0" xfId="0" quotePrefix="1"/>
    <xf numFmtId="43" fontId="0" fillId="0" borderId="0" xfId="0" applyNumberFormat="1"/>
    <xf numFmtId="0" fontId="5" fillId="0" borderId="0" xfId="0" applyFont="1" applyAlignment="1">
      <alignment vertical="top"/>
    </xf>
    <xf numFmtId="0" fontId="5" fillId="4" borderId="0" xfId="0" applyFont="1" applyFill="1" applyAlignment="1"/>
    <xf numFmtId="0" fontId="5" fillId="0" borderId="0" xfId="0" applyFont="1" applyAlignment="1"/>
    <xf numFmtId="49" fontId="5" fillId="4" borderId="0" xfId="0" applyNumberFormat="1" applyFont="1" applyFill="1" applyAlignment="1">
      <alignment vertical="top"/>
    </xf>
    <xf numFmtId="49" fontId="5" fillId="0" borderId="0" xfId="0" applyNumberFormat="1" applyFont="1" applyAlignment="1">
      <alignment vertical="top"/>
    </xf>
    <xf numFmtId="49" fontId="5" fillId="4" borderId="0" xfId="0" applyNumberFormat="1" applyFont="1" applyFill="1" applyAlignment="1">
      <alignment horizontal="center" vertical="top"/>
    </xf>
    <xf numFmtId="0" fontId="5" fillId="4" borderId="0" xfId="0" applyFont="1" applyFill="1" applyAlignment="1">
      <alignment vertical="top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5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5" fillId="3" borderId="70" xfId="0" applyFont="1" applyFill="1" applyBorder="1" applyAlignment="1" applyProtection="1">
      <alignment horizontal="left" vertical="top"/>
    </xf>
    <xf numFmtId="0" fontId="5" fillId="3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5" fillId="0" borderId="45" xfId="0" applyFont="1" applyFill="1" applyBorder="1" applyAlignment="1" applyProtection="1">
      <alignment horizontal="left" vertical="top"/>
    </xf>
    <xf numFmtId="0" fontId="5" fillId="3" borderId="38" xfId="0" applyFont="1" applyFill="1" applyBorder="1" applyAlignment="1" applyProtection="1">
      <alignment horizontal="left" vertical="top"/>
    </xf>
    <xf numFmtId="0" fontId="5" fillId="3" borderId="8" xfId="0" applyFont="1" applyFill="1" applyBorder="1" applyAlignment="1" applyProtection="1">
      <alignment horizontal="left" vertical="top"/>
    </xf>
    <xf numFmtId="0" fontId="5" fillId="0" borderId="8" xfId="0" applyFont="1" applyFill="1" applyBorder="1" applyAlignment="1" applyProtection="1">
      <alignment horizontal="left" vertical="top"/>
    </xf>
    <xf numFmtId="0" fontId="5" fillId="0" borderId="9" xfId="0" applyFont="1" applyFill="1" applyBorder="1" applyAlignment="1" applyProtection="1">
      <alignment horizontal="left" vertical="top"/>
    </xf>
    <xf numFmtId="0" fontId="11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12" fillId="0" borderId="0" xfId="0" applyFont="1" applyFill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0" fontId="5" fillId="0" borderId="45" xfId="0" applyFont="1" applyFill="1" applyBorder="1" applyAlignment="1" applyProtection="1">
      <alignment vertical="top"/>
    </xf>
    <xf numFmtId="0" fontId="5" fillId="0" borderId="14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4" fillId="8" borderId="14" xfId="0" applyFont="1" applyFill="1" applyBorder="1" applyAlignment="1" applyProtection="1">
      <alignment horizontal="center" vertical="top" wrapText="1"/>
    </xf>
    <xf numFmtId="0" fontId="4" fillId="8" borderId="0" xfId="0" applyFont="1" applyFill="1" applyBorder="1" applyAlignment="1" applyProtection="1">
      <alignment horizontal="center" vertical="top" wrapText="1"/>
    </xf>
    <xf numFmtId="164" fontId="4" fillId="8" borderId="0" xfId="1" applyNumberFormat="1" applyFont="1" applyFill="1" applyBorder="1" applyAlignment="1" applyProtection="1">
      <alignment horizontal="center" vertical="top" wrapText="1"/>
    </xf>
    <xf numFmtId="0" fontId="15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45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vertical="top"/>
    </xf>
    <xf numFmtId="49" fontId="10" fillId="9" borderId="15" xfId="0" applyNumberFormat="1" applyFont="1" applyFill="1" applyBorder="1" applyAlignment="1">
      <alignment vertical="top"/>
    </xf>
    <xf numFmtId="49" fontId="9" fillId="9" borderId="49" xfId="0" applyNumberFormat="1" applyFont="1" applyFill="1" applyBorder="1" applyAlignment="1">
      <alignment vertical="top"/>
    </xf>
    <xf numFmtId="49" fontId="9" fillId="9" borderId="50" xfId="0" applyNumberFormat="1" applyFont="1" applyFill="1" applyBorder="1" applyAlignment="1">
      <alignment vertical="top"/>
    </xf>
    <xf numFmtId="0" fontId="4" fillId="9" borderId="0" xfId="0" applyFont="1" applyFill="1" applyBorder="1" applyAlignment="1" applyProtection="1">
      <alignment horizontal="left"/>
    </xf>
    <xf numFmtId="0" fontId="4" fillId="9" borderId="85" xfId="0" applyFont="1" applyFill="1" applyBorder="1" applyAlignment="1" applyProtection="1">
      <alignment horizontal="left"/>
    </xf>
    <xf numFmtId="0" fontId="5" fillId="9" borderId="57" xfId="0" applyFont="1" applyFill="1" applyBorder="1" applyAlignment="1" applyProtection="1">
      <alignment vertical="top"/>
    </xf>
    <xf numFmtId="0" fontId="5" fillId="9" borderId="0" xfId="0" applyFont="1" applyFill="1" applyBorder="1" applyAlignment="1" applyProtection="1">
      <alignment vertical="top"/>
    </xf>
    <xf numFmtId="0" fontId="5" fillId="9" borderId="85" xfId="0" applyFont="1" applyFill="1" applyBorder="1" applyAlignment="1" applyProtection="1">
      <alignment vertical="top"/>
    </xf>
    <xf numFmtId="49" fontId="6" fillId="9" borderId="57" xfId="0" applyNumberFormat="1" applyFont="1" applyFill="1" applyBorder="1" applyAlignment="1">
      <alignment vertical="top"/>
    </xf>
    <xf numFmtId="0" fontId="3" fillId="0" borderId="0" xfId="0" applyFont="1" applyAlignment="1">
      <alignment vertical="top" wrapText="1"/>
    </xf>
    <xf numFmtId="0" fontId="5" fillId="4" borderId="0" xfId="0" applyNumberFormat="1" applyFont="1" applyFill="1" applyAlignment="1">
      <alignment vertical="top" wrapText="1"/>
    </xf>
    <xf numFmtId="0" fontId="5" fillId="0" borderId="0" xfId="0" applyNumberFormat="1" applyFont="1" applyAlignment="1">
      <alignment vertical="top" wrapText="1"/>
    </xf>
    <xf numFmtId="10" fontId="5" fillId="4" borderId="0" xfId="0" applyNumberFormat="1" applyFont="1" applyFill="1" applyAlignment="1">
      <alignment vertical="top"/>
    </xf>
    <xf numFmtId="10" fontId="5" fillId="0" borderId="0" xfId="0" applyNumberFormat="1" applyFont="1" applyFill="1" applyAlignment="1">
      <alignment vertical="top"/>
    </xf>
    <xf numFmtId="166" fontId="5" fillId="4" borderId="0" xfId="0" applyNumberFormat="1" applyFont="1" applyFill="1" applyAlignment="1">
      <alignment horizontal="center" vertical="center"/>
    </xf>
    <xf numFmtId="166" fontId="20" fillId="4" borderId="0" xfId="0" applyNumberFormat="1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6" fontId="20" fillId="4" borderId="0" xfId="0" applyNumberFormat="1" applyFont="1" applyFill="1" applyBorder="1" applyAlignment="1">
      <alignment horizontal="center" vertical="center"/>
    </xf>
    <xf numFmtId="166" fontId="21" fillId="4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2" fontId="20" fillId="4" borderId="0" xfId="0" applyNumberFormat="1" applyFont="1" applyFill="1" applyBorder="1" applyAlignment="1">
      <alignment horizontal="center" vertical="center"/>
    </xf>
    <xf numFmtId="2" fontId="20" fillId="4" borderId="0" xfId="0" applyNumberFormat="1" applyFont="1" applyFill="1" applyAlignment="1">
      <alignment horizontal="center" vertical="center"/>
    </xf>
    <xf numFmtId="2" fontId="21" fillId="4" borderId="0" xfId="0" applyNumberFormat="1" applyFont="1" applyFill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20" fillId="4" borderId="0" xfId="0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0" fillId="4" borderId="0" xfId="0" applyFont="1" applyFill="1" applyAlignment="1">
      <alignment horizontal="center"/>
    </xf>
    <xf numFmtId="49" fontId="5" fillId="4" borderId="0" xfId="0" applyNumberFormat="1" applyFont="1" applyFill="1" applyAlignment="1">
      <alignment horizontal="center" vertical="center"/>
    </xf>
    <xf numFmtId="49" fontId="5" fillId="5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 wrapText="1"/>
    </xf>
    <xf numFmtId="10" fontId="20" fillId="4" borderId="0" xfId="0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23" fillId="0" borderId="44" xfId="3" applyNumberFormat="1" applyFont="1" applyFill="1" applyBorder="1" applyAlignment="1">
      <alignment horizontal="center" vertical="center" wrapText="1"/>
    </xf>
    <xf numFmtId="0" fontId="22" fillId="4" borderId="49" xfId="0" applyFont="1" applyFill="1" applyBorder="1" applyAlignment="1"/>
    <xf numFmtId="0" fontId="23" fillId="11" borderId="0" xfId="3" applyFont="1" applyFill="1" applyBorder="1" applyAlignment="1">
      <alignment horizontal="center" vertical="center" wrapText="1"/>
    </xf>
    <xf numFmtId="0" fontId="24" fillId="11" borderId="0" xfId="3" applyFont="1" applyFill="1" applyBorder="1" applyAlignment="1">
      <alignment horizontal="center" vertical="center" wrapText="1"/>
    </xf>
    <xf numFmtId="0" fontId="23" fillId="11" borderId="85" xfId="3" applyFont="1" applyFill="1" applyBorder="1" applyAlignment="1">
      <alignment horizontal="center" vertical="center" wrapText="1"/>
    </xf>
    <xf numFmtId="0" fontId="6" fillId="6" borderId="57" xfId="0" applyNumberFormat="1" applyFont="1" applyFill="1" applyBorder="1" applyAlignment="1">
      <alignment vertical="top"/>
    </xf>
    <xf numFmtId="0" fontId="5" fillId="4" borderId="0" xfId="0" applyFont="1" applyFill="1" applyAlignment="1" applyProtection="1">
      <alignment vertical="top"/>
    </xf>
    <xf numFmtId="0" fontId="10" fillId="6" borderId="15" xfId="0" applyNumberFormat="1" applyFont="1" applyFill="1" applyBorder="1" applyAlignment="1">
      <alignment vertical="top"/>
    </xf>
    <xf numFmtId="0" fontId="9" fillId="6" borderId="49" xfId="0" applyNumberFormat="1" applyFont="1" applyFill="1" applyBorder="1" applyAlignment="1">
      <alignment vertical="top"/>
    </xf>
    <xf numFmtId="0" fontId="9" fillId="6" borderId="50" xfId="0" applyNumberFormat="1" applyFont="1" applyFill="1" applyBorder="1" applyAlignment="1">
      <alignment vertical="top"/>
    </xf>
    <xf numFmtId="0" fontId="4" fillId="6" borderId="0" xfId="0" applyNumberFormat="1" applyFont="1" applyFill="1" applyBorder="1" applyAlignment="1" applyProtection="1">
      <alignment horizontal="left"/>
    </xf>
    <xf numFmtId="0" fontId="4" fillId="6" borderId="85" xfId="0" applyNumberFormat="1" applyFont="1" applyFill="1" applyBorder="1" applyAlignment="1" applyProtection="1">
      <alignment horizontal="left"/>
    </xf>
    <xf numFmtId="0" fontId="5" fillId="6" borderId="57" xfId="0" applyNumberFormat="1" applyFont="1" applyFill="1" applyBorder="1" applyAlignment="1" applyProtection="1">
      <alignment vertical="top"/>
    </xf>
    <xf numFmtId="0" fontId="5" fillId="6" borderId="0" xfId="0" applyNumberFormat="1" applyFont="1" applyFill="1" applyBorder="1" applyAlignment="1" applyProtection="1">
      <alignment vertical="top"/>
    </xf>
    <xf numFmtId="0" fontId="5" fillId="6" borderId="85" xfId="0" applyNumberFormat="1" applyFont="1" applyFill="1" applyBorder="1" applyAlignment="1" applyProtection="1">
      <alignment vertical="top"/>
    </xf>
    <xf numFmtId="0" fontId="21" fillId="6" borderId="85" xfId="0" applyNumberFormat="1" applyFont="1" applyFill="1" applyBorder="1" applyAlignment="1">
      <alignment vertical="top" wrapText="1"/>
    </xf>
    <xf numFmtId="0" fontId="4" fillId="6" borderId="0" xfId="0" applyNumberFormat="1" applyFont="1" applyFill="1" applyBorder="1" applyAlignment="1" applyProtection="1">
      <alignment horizontal="left" vertical="top" wrapText="1"/>
    </xf>
    <xf numFmtId="0" fontId="5" fillId="6" borderId="0" xfId="0" applyNumberFormat="1" applyFont="1" applyFill="1" applyBorder="1" applyAlignment="1">
      <alignment horizontal="left" vertical="top" wrapText="1"/>
    </xf>
    <xf numFmtId="0" fontId="5" fillId="6" borderId="85" xfId="0" applyNumberFormat="1" applyFont="1" applyFill="1" applyBorder="1" applyAlignment="1">
      <alignment horizontal="left" vertical="top" wrapText="1"/>
    </xf>
    <xf numFmtId="0" fontId="5" fillId="6" borderId="95" xfId="0" applyNumberFormat="1" applyFont="1" applyFill="1" applyBorder="1" applyAlignment="1" applyProtection="1">
      <alignment horizontal="left" vertical="top"/>
    </xf>
    <xf numFmtId="0" fontId="4" fillId="6" borderId="77" xfId="0" applyNumberFormat="1" applyFont="1" applyFill="1" applyBorder="1" applyAlignment="1" applyProtection="1">
      <alignment horizontal="left" vertical="top" wrapText="1"/>
    </xf>
    <xf numFmtId="0" fontId="5" fillId="6" borderId="77" xfId="0" applyNumberFormat="1" applyFont="1" applyFill="1" applyBorder="1" applyAlignment="1">
      <alignment horizontal="left" vertical="top" wrapText="1"/>
    </xf>
    <xf numFmtId="0" fontId="5" fillId="6" borderId="96" xfId="0" applyNumberFormat="1" applyFont="1" applyFill="1" applyBorder="1" applyAlignment="1">
      <alignment horizontal="left" vertical="top" wrapText="1"/>
    </xf>
    <xf numFmtId="49" fontId="4" fillId="6" borderId="57" xfId="0" applyNumberFormat="1" applyFont="1" applyFill="1" applyBorder="1" applyAlignment="1" applyProtection="1">
      <alignment horizontal="left" vertical="top"/>
    </xf>
    <xf numFmtId="14" fontId="22" fillId="4" borderId="49" xfId="0" applyNumberFormat="1" applyFont="1" applyFill="1" applyBorder="1" applyAlignment="1"/>
    <xf numFmtId="49" fontId="24" fillId="11" borderId="40" xfId="3" applyNumberFormat="1" applyFont="1" applyFill="1" applyBorder="1" applyAlignment="1">
      <alignment horizontal="center" vertical="center" wrapText="1"/>
    </xf>
    <xf numFmtId="0" fontId="24" fillId="11" borderId="40" xfId="3" applyFont="1" applyFill="1" applyBorder="1" applyAlignment="1">
      <alignment horizontal="center" vertical="center" wrapText="1"/>
    </xf>
    <xf numFmtId="0" fontId="22" fillId="11" borderId="39" xfId="3" applyFont="1" applyFill="1" applyBorder="1" applyAlignment="1">
      <alignment horizontal="center" vertical="center" wrapText="1"/>
    </xf>
    <xf numFmtId="0" fontId="22" fillId="11" borderId="57" xfId="3" applyFont="1" applyFill="1" applyBorder="1" applyAlignment="1">
      <alignment horizontal="center" vertical="center" wrapText="1"/>
    </xf>
    <xf numFmtId="0" fontId="24" fillId="11" borderId="82" xfId="3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/>
    </xf>
    <xf numFmtId="0" fontId="5" fillId="4" borderId="15" xfId="0" applyFont="1" applyFill="1" applyBorder="1" applyAlignment="1" applyProtection="1">
      <alignment vertical="top"/>
    </xf>
    <xf numFmtId="0" fontId="5" fillId="4" borderId="49" xfId="0" applyFont="1" applyFill="1" applyBorder="1" applyAlignment="1" applyProtection="1">
      <alignment vertical="top"/>
    </xf>
    <xf numFmtId="0" fontId="5" fillId="0" borderId="50" xfId="0" applyFont="1" applyFill="1" applyBorder="1" applyAlignment="1" applyProtection="1">
      <alignment vertical="top"/>
    </xf>
    <xf numFmtId="0" fontId="4" fillId="6" borderId="85" xfId="0" applyNumberFormat="1" applyFont="1" applyFill="1" applyBorder="1" applyAlignment="1" applyProtection="1">
      <alignment horizontal="left" vertical="top" wrapText="1"/>
    </xf>
    <xf numFmtId="0" fontId="5" fillId="6" borderId="57" xfId="0" applyNumberFormat="1" applyFont="1" applyFill="1" applyBorder="1" applyAlignment="1" applyProtection="1">
      <alignment horizontal="left" vertical="top"/>
    </xf>
    <xf numFmtId="0" fontId="22" fillId="4" borderId="57" xfId="0" applyFont="1" applyFill="1" applyBorder="1" applyAlignment="1"/>
    <xf numFmtId="14" fontId="22" fillId="4" borderId="0" xfId="0" applyNumberFormat="1" applyFont="1" applyFill="1" applyBorder="1" applyAlignment="1"/>
    <xf numFmtId="2" fontId="20" fillId="4" borderId="85" xfId="0" applyNumberFormat="1" applyFont="1" applyFill="1" applyBorder="1" applyAlignment="1">
      <alignment horizontal="center" vertical="center"/>
    </xf>
    <xf numFmtId="0" fontId="20" fillId="4" borderId="57" xfId="0" applyFont="1" applyFill="1" applyBorder="1" applyAlignment="1">
      <alignment horizontal="center"/>
    </xf>
    <xf numFmtId="166" fontId="21" fillId="4" borderId="0" xfId="0" applyNumberFormat="1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2" fontId="21" fillId="4" borderId="85" xfId="0" applyNumberFormat="1" applyFont="1" applyFill="1" applyBorder="1" applyAlignment="1">
      <alignment horizontal="center" vertical="center"/>
    </xf>
    <xf numFmtId="0" fontId="20" fillId="5" borderId="95" xfId="0" applyFont="1" applyFill="1" applyBorder="1" applyAlignment="1">
      <alignment horizontal="center"/>
    </xf>
    <xf numFmtId="0" fontId="20" fillId="5" borderId="77" xfId="0" applyFont="1" applyFill="1" applyBorder="1" applyAlignment="1">
      <alignment horizontal="center" vertical="center"/>
    </xf>
    <xf numFmtId="0" fontId="20" fillId="5" borderId="77" xfId="0" applyFont="1" applyFill="1" applyBorder="1" applyAlignment="1">
      <alignment horizontal="center" vertical="center" wrapText="1"/>
    </xf>
    <xf numFmtId="2" fontId="20" fillId="5" borderId="96" xfId="0" applyNumberFormat="1" applyFont="1" applyFill="1" applyBorder="1" applyAlignment="1">
      <alignment horizontal="center" vertical="center"/>
    </xf>
    <xf numFmtId="0" fontId="27" fillId="11" borderId="22" xfId="0" applyFont="1" applyFill="1" applyBorder="1" applyAlignment="1">
      <alignment horizontal="center" vertical="center"/>
    </xf>
    <xf numFmtId="0" fontId="27" fillId="11" borderId="40" xfId="0" applyFont="1" applyFill="1" applyBorder="1" applyAlignment="1">
      <alignment horizontal="center" vertical="center"/>
    </xf>
    <xf numFmtId="2" fontId="27" fillId="11" borderId="63" xfId="0" applyNumberFormat="1" applyFont="1" applyFill="1" applyBorder="1" applyAlignment="1">
      <alignment horizontal="center" vertical="center"/>
    </xf>
    <xf numFmtId="0" fontId="28" fillId="11" borderId="40" xfId="0" applyFont="1" applyFill="1" applyBorder="1" applyAlignment="1">
      <alignment horizontal="center" vertical="center" wrapText="1"/>
    </xf>
    <xf numFmtId="0" fontId="24" fillId="8" borderId="40" xfId="3" applyFont="1" applyFill="1" applyBorder="1" applyAlignment="1">
      <alignment horizontal="center" vertical="center" wrapText="1"/>
    </xf>
    <xf numFmtId="0" fontId="24" fillId="8" borderId="8" xfId="3" applyFont="1" applyFill="1" applyBorder="1" applyAlignment="1">
      <alignment horizontal="center" vertical="center" wrapText="1"/>
    </xf>
    <xf numFmtId="0" fontId="31" fillId="11" borderId="82" xfId="3" applyFont="1" applyFill="1" applyBorder="1" applyAlignment="1">
      <alignment horizontal="center" vertical="center" wrapText="1"/>
    </xf>
    <xf numFmtId="0" fontId="31" fillId="8" borderId="8" xfId="3" applyFont="1" applyFill="1" applyBorder="1" applyAlignment="1">
      <alignment horizontal="center" vertical="center" wrapText="1"/>
    </xf>
    <xf numFmtId="0" fontId="31" fillId="8" borderId="40" xfId="3" applyFont="1" applyFill="1" applyBorder="1" applyAlignment="1">
      <alignment horizontal="center" vertical="center" wrapText="1"/>
    </xf>
    <xf numFmtId="49" fontId="31" fillId="11" borderId="82" xfId="3" applyNumberFormat="1" applyFont="1" applyFill="1" applyBorder="1" applyAlignment="1">
      <alignment horizontal="center" vertical="center" wrapText="1"/>
    </xf>
    <xf numFmtId="0" fontId="31" fillId="11" borderId="40" xfId="3" applyFont="1" applyFill="1" applyBorder="1" applyAlignment="1">
      <alignment horizontal="center" vertical="center" wrapText="1"/>
    </xf>
    <xf numFmtId="49" fontId="31" fillId="11" borderId="40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167" fontId="5" fillId="0" borderId="0" xfId="0" applyNumberFormat="1" applyFont="1" applyAlignment="1"/>
    <xf numFmtId="0" fontId="27" fillId="11" borderId="98" xfId="0" applyFont="1" applyFill="1" applyBorder="1" applyAlignment="1">
      <alignment horizontal="center" vertical="center"/>
    </xf>
    <xf numFmtId="0" fontId="27" fillId="11" borderId="12" xfId="0" applyFont="1" applyFill="1" applyBorder="1" applyAlignment="1">
      <alignment horizontal="center" vertical="center"/>
    </xf>
    <xf numFmtId="0" fontId="28" fillId="11" borderId="12" xfId="0" applyFont="1" applyFill="1" applyBorder="1" applyAlignment="1">
      <alignment horizontal="center" vertical="center" wrapText="1"/>
    </xf>
    <xf numFmtId="2" fontId="27" fillId="11" borderId="99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 wrapText="1"/>
    </xf>
    <xf numFmtId="167" fontId="1" fillId="14" borderId="0" xfId="0" applyNumberFormat="1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vertical="top" wrapText="1"/>
    </xf>
    <xf numFmtId="167" fontId="1" fillId="13" borderId="0" xfId="0" applyNumberFormat="1" applyFont="1" applyFill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0" fontId="23" fillId="4" borderId="97" xfId="0" applyFont="1" applyFill="1" applyBorder="1" applyAlignment="1">
      <alignment horizontal="center" vertical="center"/>
    </xf>
    <xf numFmtId="2" fontId="23" fillId="4" borderId="97" xfId="0" applyNumberFormat="1" applyFont="1" applyFill="1" applyBorder="1" applyAlignment="1">
      <alignment horizontal="center" vertical="center"/>
    </xf>
    <xf numFmtId="166" fontId="31" fillId="4" borderId="97" xfId="0" applyNumberFormat="1" applyFont="1" applyFill="1" applyBorder="1" applyAlignment="1">
      <alignment horizontal="center" vertical="center"/>
    </xf>
    <xf numFmtId="166" fontId="23" fillId="4" borderId="44" xfId="0" applyNumberFormat="1" applyFont="1" applyFill="1" applyBorder="1" applyAlignment="1">
      <alignment horizontal="center" vertical="center"/>
    </xf>
    <xf numFmtId="167" fontId="1" fillId="15" borderId="0" xfId="0" applyNumberFormat="1" applyFont="1" applyFill="1" applyAlignment="1">
      <alignment horizontal="center" vertical="center"/>
    </xf>
    <xf numFmtId="0" fontId="23" fillId="4" borderId="86" xfId="3" applyFont="1" applyFill="1" applyBorder="1" applyAlignment="1">
      <alignment horizontal="center" vertical="center" wrapText="1"/>
    </xf>
    <xf numFmtId="2" fontId="23" fillId="4" borderId="44" xfId="3" applyNumberFormat="1" applyFont="1" applyFill="1" applyBorder="1" applyAlignment="1">
      <alignment horizontal="center" vertical="center" wrapText="1"/>
    </xf>
    <xf numFmtId="166" fontId="31" fillId="4" borderId="44" xfId="0" applyNumberFormat="1" applyFont="1" applyFill="1" applyBorder="1" applyAlignment="1">
      <alignment horizontal="center" vertical="center"/>
    </xf>
    <xf numFmtId="0" fontId="27" fillId="11" borderId="40" xfId="3" applyFont="1" applyFill="1" applyBorder="1" applyAlignment="1">
      <alignment horizontal="center" vertical="center" wrapText="1"/>
    </xf>
    <xf numFmtId="0" fontId="22" fillId="11" borderId="40" xfId="3" applyFont="1" applyFill="1" applyBorder="1" applyAlignment="1">
      <alignment horizontal="center" vertical="center" wrapText="1"/>
    </xf>
    <xf numFmtId="0" fontId="22" fillId="8" borderId="40" xfId="3" applyFont="1" applyFill="1" applyBorder="1" applyAlignment="1">
      <alignment horizontal="center" vertical="center" wrapText="1"/>
    </xf>
    <xf numFmtId="2" fontId="22" fillId="8" borderId="40" xfId="3" applyNumberFormat="1" applyFont="1" applyFill="1" applyBorder="1" applyAlignment="1">
      <alignment horizontal="center" vertical="center" wrapText="1"/>
    </xf>
    <xf numFmtId="166" fontId="22" fillId="8" borderId="40" xfId="3" applyNumberFormat="1" applyFont="1" applyFill="1" applyBorder="1" applyAlignment="1">
      <alignment horizontal="center" vertical="center" wrapText="1"/>
    </xf>
    <xf numFmtId="49" fontId="10" fillId="11" borderId="15" xfId="0" applyNumberFormat="1" applyFont="1" applyFill="1" applyBorder="1" applyAlignment="1">
      <alignment horizontal="center" vertical="top"/>
    </xf>
    <xf numFmtId="49" fontId="10" fillId="11" borderId="49" xfId="0" applyNumberFormat="1" applyFont="1" applyFill="1" applyBorder="1" applyAlignment="1">
      <alignment horizontal="center" vertical="top"/>
    </xf>
    <xf numFmtId="0" fontId="5" fillId="11" borderId="49" xfId="0" applyFont="1" applyFill="1" applyBorder="1" applyAlignment="1">
      <alignment horizontal="center" vertical="center" wrapText="1"/>
    </xf>
    <xf numFmtId="0" fontId="4" fillId="11" borderId="49" xfId="0" applyFont="1" applyFill="1" applyBorder="1" applyAlignment="1">
      <alignment horizontal="center" vertical="center"/>
    </xf>
    <xf numFmtId="2" fontId="9" fillId="11" borderId="49" xfId="0" applyNumberFormat="1" applyFont="1" applyFill="1" applyBorder="1" applyAlignment="1">
      <alignment horizontal="center" vertical="center"/>
    </xf>
    <xf numFmtId="166" fontId="9" fillId="11" borderId="49" xfId="0" applyNumberFormat="1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center" vertical="center"/>
    </xf>
    <xf numFmtId="2" fontId="19" fillId="11" borderId="0" xfId="0" applyNumberFormat="1" applyFont="1" applyFill="1" applyBorder="1" applyAlignment="1">
      <alignment horizontal="center" vertical="center"/>
    </xf>
    <xf numFmtId="166" fontId="19" fillId="11" borderId="0" xfId="0" applyNumberFormat="1" applyFont="1" applyFill="1" applyBorder="1" applyAlignment="1">
      <alignment horizontal="center" vertical="center"/>
    </xf>
    <xf numFmtId="49" fontId="19" fillId="11" borderId="0" xfId="0" applyNumberFormat="1" applyFont="1" applyFill="1" applyBorder="1" applyAlignment="1">
      <alignment horizontal="center" vertical="center"/>
    </xf>
    <xf numFmtId="0" fontId="20" fillId="11" borderId="0" xfId="0" applyFont="1" applyFill="1" applyBorder="1" applyAlignment="1">
      <alignment horizontal="center" vertical="center" wrapText="1"/>
    </xf>
    <xf numFmtId="0" fontId="19" fillId="11" borderId="0" xfId="0" applyFont="1" applyFill="1" applyBorder="1" applyAlignment="1">
      <alignment horizontal="center" vertical="center"/>
    </xf>
    <xf numFmtId="166" fontId="20" fillId="11" borderId="0" xfId="2" applyNumberFormat="1" applyFont="1" applyFill="1" applyBorder="1" applyAlignment="1">
      <alignment horizontal="center" vertical="center"/>
    </xf>
    <xf numFmtId="49" fontId="21" fillId="11" borderId="0" xfId="0" applyNumberFormat="1" applyFont="1" applyFill="1" applyBorder="1" applyAlignment="1">
      <alignment horizontal="center" vertical="center"/>
    </xf>
    <xf numFmtId="10" fontId="20" fillId="11" borderId="0" xfId="5" applyNumberFormat="1" applyFont="1" applyFill="1" applyBorder="1" applyAlignment="1">
      <alignment horizontal="left" vertical="center" wrapText="1"/>
    </xf>
    <xf numFmtId="10" fontId="21" fillId="11" borderId="0" xfId="5" applyNumberFormat="1" applyFont="1" applyFill="1" applyBorder="1" applyAlignment="1">
      <alignment horizontal="center" vertical="center"/>
    </xf>
    <xf numFmtId="166" fontId="21" fillId="11" borderId="0" xfId="0" applyNumberFormat="1" applyFont="1" applyFill="1" applyBorder="1" applyAlignment="1">
      <alignment horizontal="center" vertical="center"/>
    </xf>
    <xf numFmtId="49" fontId="21" fillId="11" borderId="77" xfId="0" applyNumberFormat="1" applyFont="1" applyFill="1" applyBorder="1" applyAlignment="1">
      <alignment horizontal="center" vertical="center"/>
    </xf>
    <xf numFmtId="0" fontId="20" fillId="11" borderId="77" xfId="0" applyFont="1" applyFill="1" applyBorder="1" applyAlignment="1">
      <alignment horizontal="center" vertical="center" wrapText="1"/>
    </xf>
    <xf numFmtId="0" fontId="19" fillId="11" borderId="77" xfId="0" applyFont="1" applyFill="1" applyBorder="1" applyAlignment="1">
      <alignment horizontal="center" vertical="center"/>
    </xf>
    <xf numFmtId="2" fontId="19" fillId="11" borderId="77" xfId="0" applyNumberFormat="1" applyFont="1" applyFill="1" applyBorder="1" applyAlignment="1">
      <alignment horizontal="center" vertical="center"/>
    </xf>
    <xf numFmtId="166" fontId="19" fillId="11" borderId="77" xfId="0" applyNumberFormat="1" applyFont="1" applyFill="1" applyBorder="1" applyAlignment="1">
      <alignment horizontal="center" vertical="center"/>
    </xf>
    <xf numFmtId="166" fontId="20" fillId="11" borderId="77" xfId="2" applyNumberFormat="1" applyFont="1" applyFill="1" applyBorder="1" applyAlignment="1">
      <alignment horizontal="center" vertical="center"/>
    </xf>
    <xf numFmtId="49" fontId="22" fillId="11" borderId="93" xfId="3" applyNumberFormat="1" applyFont="1" applyFill="1" applyBorder="1" applyAlignment="1">
      <alignment horizontal="center" vertical="center" wrapText="1"/>
    </xf>
    <xf numFmtId="0" fontId="22" fillId="11" borderId="94" xfId="3" applyFont="1" applyFill="1" applyBorder="1" applyAlignment="1">
      <alignment horizontal="center" vertical="center" wrapText="1"/>
    </xf>
    <xf numFmtId="166" fontId="23" fillId="4" borderId="86" xfId="0" applyNumberFormat="1" applyFont="1" applyFill="1" applyBorder="1" applyAlignment="1">
      <alignment horizontal="center" vertical="center"/>
    </xf>
    <xf numFmtId="0" fontId="23" fillId="4" borderId="44" xfId="0" applyFont="1" applyFill="1" applyBorder="1" applyAlignment="1">
      <alignment horizontal="center" vertical="center"/>
    </xf>
    <xf numFmtId="2" fontId="23" fillId="4" borderId="44" xfId="0" applyNumberFormat="1" applyFont="1" applyFill="1" applyBorder="1" applyAlignment="1">
      <alignment horizontal="center" vertical="center"/>
    </xf>
    <xf numFmtId="166" fontId="31" fillId="11" borderId="44" xfId="0" applyNumberFormat="1" applyFont="1" applyFill="1" applyBorder="1" applyAlignment="1">
      <alignment horizontal="center" vertical="center"/>
    </xf>
    <xf numFmtId="0" fontId="23" fillId="8" borderId="44" xfId="0" applyFont="1" applyFill="1" applyBorder="1" applyAlignment="1">
      <alignment horizontal="center" vertical="center"/>
    </xf>
    <xf numFmtId="2" fontId="23" fillId="8" borderId="44" xfId="0" applyNumberFormat="1" applyFont="1" applyFill="1" applyBorder="1" applyAlignment="1">
      <alignment horizontal="center" vertical="center"/>
    </xf>
    <xf numFmtId="0" fontId="24" fillId="11" borderId="44" xfId="3" applyFont="1" applyFill="1" applyBorder="1" applyAlignment="1">
      <alignment horizontal="center" vertical="center" wrapText="1"/>
    </xf>
    <xf numFmtId="0" fontId="31" fillId="4" borderId="40" xfId="3" applyFont="1" applyFill="1" applyBorder="1" applyAlignment="1">
      <alignment horizontal="center" vertical="center" wrapText="1"/>
    </xf>
    <xf numFmtId="49" fontId="23" fillId="4" borderId="44" xfId="3" applyNumberFormat="1" applyFont="1" applyFill="1" applyBorder="1" applyAlignment="1">
      <alignment horizontal="center" vertical="center" wrapText="1"/>
    </xf>
    <xf numFmtId="166" fontId="31" fillId="4" borderId="44" xfId="3" applyNumberFormat="1" applyFont="1" applyFill="1" applyBorder="1" applyAlignment="1">
      <alignment horizontal="center" vertical="center" wrapText="1"/>
    </xf>
    <xf numFmtId="166" fontId="23" fillId="8" borderId="44" xfId="0" applyNumberFormat="1" applyFont="1" applyFill="1" applyBorder="1" applyAlignment="1">
      <alignment horizontal="center" vertical="center"/>
    </xf>
    <xf numFmtId="0" fontId="23" fillId="11" borderId="44" xfId="3" applyFont="1" applyFill="1" applyBorder="1" applyAlignment="1">
      <alignment horizontal="center" vertical="center" wrapText="1"/>
    </xf>
    <xf numFmtId="166" fontId="23" fillId="11" borderId="44" xfId="0" applyNumberFormat="1" applyFont="1" applyFill="1" applyBorder="1" applyAlignment="1">
      <alignment horizontal="center" vertical="center"/>
    </xf>
    <xf numFmtId="49" fontId="31" fillId="8" borderId="0" xfId="3" applyNumberFormat="1" applyFont="1" applyFill="1" applyBorder="1" applyAlignment="1">
      <alignment horizontal="center" vertical="center" wrapText="1"/>
    </xf>
    <xf numFmtId="49" fontId="24" fillId="8" borderId="0" xfId="3" applyNumberFormat="1" applyFont="1" applyFill="1" applyBorder="1" applyAlignment="1">
      <alignment horizontal="center" vertical="center" wrapText="1"/>
    </xf>
    <xf numFmtId="166" fontId="23" fillId="4" borderId="39" xfId="0" applyNumberFormat="1" applyFont="1" applyFill="1" applyBorder="1" applyAlignment="1">
      <alignment horizontal="center" vertical="center"/>
    </xf>
    <xf numFmtId="0" fontId="5" fillId="16" borderId="0" xfId="0" applyFont="1" applyFill="1" applyAlignment="1">
      <alignment horizontal="center" vertical="center"/>
    </xf>
    <xf numFmtId="2" fontId="5" fillId="16" borderId="0" xfId="0" applyNumberFormat="1" applyFont="1" applyFill="1" applyAlignment="1">
      <alignment horizontal="center" vertical="center"/>
    </xf>
    <xf numFmtId="166" fontId="5" fillId="16" borderId="0" xfId="0" applyNumberFormat="1" applyFont="1" applyFill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23" fillId="4" borderId="44" xfId="3" applyFont="1" applyFill="1" applyBorder="1" applyAlignment="1">
      <alignment horizontal="center" vertical="center"/>
    </xf>
    <xf numFmtId="0" fontId="27" fillId="8" borderId="40" xfId="3" applyFont="1" applyFill="1" applyBorder="1" applyAlignment="1">
      <alignment horizontal="center" vertical="center" wrapText="1"/>
    </xf>
    <xf numFmtId="167" fontId="1" fillId="8" borderId="0" xfId="0" applyNumberFormat="1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49" fontId="31" fillId="8" borderId="82" xfId="3" applyNumberFormat="1" applyFont="1" applyFill="1" applyBorder="1" applyAlignment="1">
      <alignment horizontal="center" vertical="center" wrapText="1"/>
    </xf>
    <xf numFmtId="0" fontId="24" fillId="8" borderId="82" xfId="3" applyFont="1" applyFill="1" applyBorder="1" applyAlignment="1">
      <alignment horizontal="center" vertical="center" wrapText="1"/>
    </xf>
    <xf numFmtId="167" fontId="1" fillId="8" borderId="0" xfId="0" applyNumberFormat="1" applyFont="1" applyFill="1" applyAlignment="1">
      <alignment horizontal="center" vertical="center" wrapText="1"/>
    </xf>
    <xf numFmtId="0" fontId="3" fillId="8" borderId="0" xfId="0" applyFont="1" applyFill="1" applyAlignment="1">
      <alignment vertical="top" wrapText="1"/>
    </xf>
    <xf numFmtId="0" fontId="22" fillId="8" borderId="39" xfId="3" applyFont="1" applyFill="1" applyBorder="1" applyAlignment="1">
      <alignment horizontal="center" vertical="center" wrapText="1"/>
    </xf>
    <xf numFmtId="0" fontId="31" fillId="4" borderId="44" xfId="0" applyFont="1" applyFill="1" applyBorder="1" applyAlignment="1">
      <alignment horizontal="center" vertical="center"/>
    </xf>
    <xf numFmtId="0" fontId="30" fillId="4" borderId="44" xfId="0" applyFont="1" applyFill="1" applyBorder="1" applyAlignment="1">
      <alignment horizontal="left" wrapText="1"/>
    </xf>
    <xf numFmtId="0" fontId="30" fillId="4" borderId="44" xfId="0" applyFont="1" applyFill="1" applyBorder="1" applyAlignment="1">
      <alignment horizontal="left" vertical="top" wrapText="1"/>
    </xf>
    <xf numFmtId="0" fontId="26" fillId="4" borderId="44" xfId="0" applyFont="1" applyFill="1" applyBorder="1" applyAlignment="1">
      <alignment horizontal="center" vertical="center" wrapText="1"/>
    </xf>
    <xf numFmtId="0" fontId="30" fillId="4" borderId="44" xfId="0" applyFont="1" applyFill="1" applyBorder="1" applyAlignment="1">
      <alignment vertical="top" wrapText="1"/>
    </xf>
    <xf numFmtId="0" fontId="30" fillId="4" borderId="44" xfId="0" applyFont="1" applyFill="1" applyBorder="1" applyAlignment="1">
      <alignment horizontal="center" vertical="center" wrapText="1"/>
    </xf>
    <xf numFmtId="0" fontId="30" fillId="4" borderId="44" xfId="0" applyFont="1" applyFill="1" applyBorder="1" applyAlignment="1">
      <alignment horizontal="left" vertical="center" wrapText="1"/>
    </xf>
    <xf numFmtId="0" fontId="30" fillId="4" borderId="97" xfId="0" applyFont="1" applyFill="1" applyBorder="1" applyAlignment="1">
      <alignment horizontal="center" vertical="center" wrapText="1"/>
    </xf>
    <xf numFmtId="166" fontId="23" fillId="4" borderId="97" xfId="0" applyNumberFormat="1" applyFont="1" applyFill="1" applyBorder="1" applyAlignment="1">
      <alignment horizontal="center" vertical="center"/>
    </xf>
    <xf numFmtId="0" fontId="30" fillId="4" borderId="97" xfId="0" applyFont="1" applyFill="1" applyBorder="1" applyAlignment="1">
      <alignment horizontal="left" wrapText="1"/>
    </xf>
    <xf numFmtId="2" fontId="23" fillId="4" borderId="97" xfId="1" applyNumberFormat="1" applyFont="1" applyFill="1" applyBorder="1" applyAlignment="1">
      <alignment horizontal="center" vertical="center"/>
    </xf>
    <xf numFmtId="166" fontId="31" fillId="4" borderId="97" xfId="1" applyNumberFormat="1" applyFont="1" applyFill="1" applyBorder="1" applyAlignment="1">
      <alignment horizontal="center" vertical="center"/>
    </xf>
    <xf numFmtId="166" fontId="23" fillId="4" borderId="97" xfId="1" applyNumberFormat="1" applyFont="1" applyFill="1" applyBorder="1" applyAlignment="1">
      <alignment horizontal="center" vertical="center"/>
    </xf>
    <xf numFmtId="166" fontId="23" fillId="4" borderId="44" xfId="3" applyNumberFormat="1" applyFont="1" applyFill="1" applyBorder="1" applyAlignment="1">
      <alignment horizontal="center" vertical="center" wrapText="1"/>
    </xf>
    <xf numFmtId="0" fontId="29" fillId="4" borderId="44" xfId="0" applyFont="1" applyFill="1" applyBorder="1" applyAlignment="1" applyProtection="1">
      <alignment horizontal="center" vertical="center"/>
      <protection locked="0"/>
    </xf>
    <xf numFmtId="0" fontId="31" fillId="4" borderId="97" xfId="0" applyFont="1" applyFill="1" applyBorder="1" applyAlignment="1">
      <alignment horizontal="center" vertical="center"/>
    </xf>
    <xf numFmtId="0" fontId="23" fillId="4" borderId="97" xfId="3" applyFont="1" applyFill="1" applyBorder="1" applyAlignment="1">
      <alignment horizontal="center" vertical="center" wrapText="1"/>
    </xf>
    <xf numFmtId="2" fontId="23" fillId="4" borderId="97" xfId="3" applyNumberFormat="1" applyFont="1" applyFill="1" applyBorder="1" applyAlignment="1">
      <alignment horizontal="center" vertical="center" wrapText="1"/>
    </xf>
    <xf numFmtId="166" fontId="31" fillId="4" borderId="97" xfId="3" applyNumberFormat="1" applyFont="1" applyFill="1" applyBorder="1" applyAlignment="1">
      <alignment horizontal="center" vertical="center" wrapText="1"/>
    </xf>
    <xf numFmtId="0" fontId="30" fillId="4" borderId="97" xfId="0" applyFont="1" applyFill="1" applyBorder="1" applyAlignment="1">
      <alignment horizontal="left" vertical="top" wrapText="1"/>
    </xf>
    <xf numFmtId="166" fontId="23" fillId="4" borderId="10" xfId="0" applyNumberFormat="1" applyFont="1" applyFill="1" applyBorder="1" applyAlignment="1">
      <alignment horizontal="center" vertical="center"/>
    </xf>
    <xf numFmtId="166" fontId="31" fillId="4" borderId="86" xfId="0" applyNumberFormat="1" applyFont="1" applyFill="1" applyBorder="1" applyAlignment="1">
      <alignment horizontal="center" vertical="center"/>
    </xf>
    <xf numFmtId="0" fontId="31" fillId="4" borderId="44" xfId="3" applyFont="1" applyFill="1" applyBorder="1" applyAlignment="1">
      <alignment horizontal="center" vertical="center" wrapText="1"/>
    </xf>
    <xf numFmtId="0" fontId="31" fillId="4" borderId="86" xfId="3" applyFont="1" applyFill="1" applyBorder="1" applyAlignment="1">
      <alignment horizontal="center" vertical="center" wrapText="1"/>
    </xf>
    <xf numFmtId="0" fontId="30" fillId="4" borderId="86" xfId="0" applyFont="1" applyFill="1" applyBorder="1" applyAlignment="1">
      <alignment horizontal="left" wrapText="1"/>
    </xf>
    <xf numFmtId="4" fontId="23" fillId="4" borderId="97" xfId="3" applyNumberFormat="1" applyFont="1" applyFill="1" applyBorder="1" applyAlignment="1">
      <alignment horizontal="center" vertical="center"/>
    </xf>
    <xf numFmtId="0" fontId="23" fillId="4" borderId="44" xfId="3" applyFont="1" applyFill="1" applyBorder="1" applyAlignment="1">
      <alignment horizontal="center" vertical="center" wrapText="1"/>
    </xf>
    <xf numFmtId="2" fontId="23" fillId="4" borderId="44" xfId="1" applyNumberFormat="1" applyFont="1" applyFill="1" applyBorder="1" applyAlignment="1">
      <alignment horizontal="center" vertical="center" wrapText="1"/>
    </xf>
    <xf numFmtId="166" fontId="31" fillId="4" borderId="44" xfId="1" applyNumberFormat="1" applyFont="1" applyFill="1" applyBorder="1" applyAlignment="1">
      <alignment horizontal="center" vertical="center" wrapText="1"/>
    </xf>
    <xf numFmtId="166" fontId="23" fillId="4" borderId="39" xfId="1" applyNumberFormat="1" applyFont="1" applyFill="1" applyBorder="1" applyAlignment="1">
      <alignment horizontal="center" vertical="center" wrapText="1"/>
    </xf>
    <xf numFmtId="2" fontId="23" fillId="4" borderId="9" xfId="6" applyNumberFormat="1" applyFont="1" applyFill="1" applyBorder="1" applyAlignment="1">
      <alignment horizontal="center" vertical="center"/>
    </xf>
    <xf numFmtId="166" fontId="31" fillId="4" borderId="86" xfId="1" applyNumberFormat="1" applyFont="1" applyFill="1" applyBorder="1" applyAlignment="1">
      <alignment horizontal="center" vertical="center"/>
    </xf>
    <xf numFmtId="2" fontId="23" fillId="4" borderId="41" xfId="6" applyNumberFormat="1" applyFont="1" applyFill="1" applyBorder="1" applyAlignment="1">
      <alignment horizontal="center" vertical="center" wrapText="1"/>
    </xf>
    <xf numFmtId="166" fontId="23" fillId="4" borderId="86" xfId="0" applyNumberFormat="1" applyFont="1" applyFill="1" applyBorder="1" applyAlignment="1">
      <alignment horizontal="center" vertical="center" wrapText="1"/>
    </xf>
    <xf numFmtId="2" fontId="23" fillId="4" borderId="41" xfId="6" applyNumberFormat="1" applyFont="1" applyFill="1" applyBorder="1" applyAlignment="1">
      <alignment horizontal="center" vertical="center"/>
    </xf>
    <xf numFmtId="166" fontId="31" fillId="4" borderId="44" xfId="1" applyNumberFormat="1" applyFont="1" applyFill="1" applyBorder="1" applyAlignment="1">
      <alignment horizontal="center" vertical="center"/>
    </xf>
    <xf numFmtId="0" fontId="31" fillId="4" borderId="86" xfId="0" applyFont="1" applyFill="1" applyBorder="1" applyAlignment="1">
      <alignment horizontal="center" vertical="center"/>
    </xf>
    <xf numFmtId="0" fontId="30" fillId="4" borderId="11" xfId="0" applyFont="1" applyFill="1" applyBorder="1" applyAlignment="1" applyProtection="1">
      <alignment horizontal="left" vertical="center" wrapText="1"/>
      <protection locked="0"/>
    </xf>
    <xf numFmtId="0" fontId="31" fillId="4" borderId="44" xfId="0" applyFont="1" applyFill="1" applyBorder="1" applyAlignment="1">
      <alignment horizontal="center" vertical="center" wrapText="1"/>
    </xf>
    <xf numFmtId="0" fontId="30" fillId="4" borderId="39" xfId="0" applyFont="1" applyFill="1" applyBorder="1" applyAlignment="1" applyProtection="1">
      <alignment horizontal="left" vertical="center" wrapText="1"/>
      <protection locked="0"/>
    </xf>
    <xf numFmtId="0" fontId="23" fillId="4" borderId="44" xfId="0" applyFont="1" applyFill="1" applyBorder="1" applyAlignment="1" applyProtection="1">
      <alignment horizontal="center" vertical="center"/>
      <protection locked="0"/>
    </xf>
    <xf numFmtId="2" fontId="23" fillId="4" borderId="44" xfId="6" applyNumberFormat="1" applyFont="1" applyFill="1" applyBorder="1" applyAlignment="1">
      <alignment horizontal="center" vertical="center"/>
    </xf>
    <xf numFmtId="49" fontId="31" fillId="4" borderId="44" xfId="3" applyNumberFormat="1" applyFont="1" applyFill="1" applyBorder="1" applyAlignment="1">
      <alignment horizontal="center" vertical="center" wrapText="1"/>
    </xf>
    <xf numFmtId="0" fontId="30" fillId="4" borderId="44" xfId="3" applyFont="1" applyFill="1" applyBorder="1" applyAlignment="1">
      <alignment horizontal="left" vertical="top" wrapText="1"/>
    </xf>
    <xf numFmtId="0" fontId="30" fillId="4" borderId="44" xfId="0" applyFont="1" applyFill="1" applyBorder="1" applyAlignment="1" applyProtection="1">
      <alignment horizontal="left" vertical="center" wrapText="1"/>
      <protection locked="0"/>
    </xf>
    <xf numFmtId="0" fontId="23" fillId="4" borderId="97" xfId="3" applyFont="1" applyFill="1" applyBorder="1" applyAlignment="1">
      <alignment horizontal="center" vertical="center"/>
    </xf>
    <xf numFmtId="2" fontId="23" fillId="4" borderId="44" xfId="1" applyNumberFormat="1" applyFont="1" applyFill="1" applyBorder="1" applyAlignment="1">
      <alignment horizontal="center" vertical="center"/>
    </xf>
    <xf numFmtId="0" fontId="23" fillId="4" borderId="44" xfId="0" applyFont="1" applyFill="1" applyBorder="1" applyAlignment="1">
      <alignment horizontal="left" wrapText="1"/>
    </xf>
    <xf numFmtId="0" fontId="23" fillId="4" borderId="44" xfId="0" applyFont="1" applyFill="1" applyBorder="1" applyAlignment="1">
      <alignment horizontal="left" vertical="center" wrapText="1"/>
    </xf>
    <xf numFmtId="166" fontId="23" fillId="4" borderId="39" xfId="3" applyNumberFormat="1" applyFont="1" applyFill="1" applyBorder="1" applyAlignment="1">
      <alignment horizontal="center" vertical="center" wrapText="1"/>
    </xf>
    <xf numFmtId="49" fontId="23" fillId="4" borderId="44" xfId="3" applyNumberFormat="1" applyFont="1" applyFill="1" applyBorder="1" applyAlignment="1">
      <alignment horizontal="center" vertical="top" wrapText="1"/>
    </xf>
    <xf numFmtId="49" fontId="30" fillId="4" borderId="44" xfId="3" applyNumberFormat="1" applyFont="1" applyFill="1" applyBorder="1" applyAlignment="1">
      <alignment horizontal="center" vertical="center" wrapText="1"/>
    </xf>
    <xf numFmtId="166" fontId="23" fillId="4" borderId="44" xfId="3" applyNumberFormat="1" applyFont="1" applyFill="1" applyBorder="1" applyAlignment="1">
      <alignment horizontal="right" vertical="center"/>
    </xf>
    <xf numFmtId="0" fontId="1" fillId="4" borderId="44" xfId="0" applyFont="1" applyFill="1" applyBorder="1" applyAlignment="1">
      <alignment horizontal="center" vertical="center"/>
    </xf>
    <xf numFmtId="167" fontId="1" fillId="4" borderId="44" xfId="0" applyNumberFormat="1" applyFont="1" applyFill="1" applyBorder="1" applyAlignment="1">
      <alignment horizontal="right" vertical="center"/>
    </xf>
    <xf numFmtId="0" fontId="3" fillId="8" borderId="0" xfId="0" applyFont="1" applyFill="1" applyAlignment="1">
      <alignment vertical="top"/>
    </xf>
    <xf numFmtId="0" fontId="3" fillId="4" borderId="0" xfId="0" applyFont="1" applyFill="1" applyAlignment="1">
      <alignment vertical="top"/>
    </xf>
    <xf numFmtId="0" fontId="1" fillId="8" borderId="0" xfId="0" applyFont="1" applyFill="1" applyAlignment="1">
      <alignment vertical="top"/>
    </xf>
    <xf numFmtId="0" fontId="5" fillId="8" borderId="0" xfId="0" applyFont="1" applyFill="1" applyAlignment="1">
      <alignment vertical="top"/>
    </xf>
    <xf numFmtId="49" fontId="31" fillId="8" borderId="40" xfId="3" applyNumberFormat="1" applyFont="1" applyFill="1" applyBorder="1" applyAlignment="1">
      <alignment horizontal="center" vertical="center" wrapText="1"/>
    </xf>
    <xf numFmtId="49" fontId="24" fillId="8" borderId="40" xfId="3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top"/>
    </xf>
    <xf numFmtId="167" fontId="1" fillId="4" borderId="0" xfId="0" applyNumberFormat="1" applyFont="1" applyFill="1" applyAlignment="1">
      <alignment horizontal="center" vertical="center"/>
    </xf>
    <xf numFmtId="167" fontId="3" fillId="4" borderId="0" xfId="0" applyNumberFormat="1" applyFont="1" applyFill="1" applyAlignment="1">
      <alignment horizontal="center" vertical="center"/>
    </xf>
    <xf numFmtId="0" fontId="1" fillId="0" borderId="0" xfId="9"/>
    <xf numFmtId="0" fontId="1" fillId="0" borderId="91" xfId="9" applyBorder="1"/>
    <xf numFmtId="0" fontId="1" fillId="0" borderId="86" xfId="9" applyBorder="1" applyAlignment="1">
      <alignment horizontal="center"/>
    </xf>
    <xf numFmtId="0" fontId="1" fillId="0" borderId="86" xfId="9" applyBorder="1"/>
    <xf numFmtId="0" fontId="1" fillId="0" borderId="11" xfId="9" applyBorder="1"/>
    <xf numFmtId="0" fontId="1" fillId="0" borderId="78" xfId="9" applyBorder="1" applyAlignment="1">
      <alignment horizontal="center"/>
    </xf>
    <xf numFmtId="0" fontId="1" fillId="0" borderId="44" xfId="9" applyBorder="1"/>
    <xf numFmtId="0" fontId="3" fillId="0" borderId="44" xfId="9" applyFont="1" applyBorder="1"/>
    <xf numFmtId="0" fontId="3" fillId="0" borderId="7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49" fontId="22" fillId="11" borderId="44" xfId="3" applyNumberFormat="1" applyFont="1" applyFill="1" applyBorder="1" applyAlignment="1">
      <alignment horizontal="center" vertical="center"/>
    </xf>
    <xf numFmtId="49" fontId="22" fillId="11" borderId="0" xfId="3" applyNumberFormat="1" applyFont="1" applyFill="1" applyBorder="1" applyAlignment="1">
      <alignment horizontal="center" vertical="center" wrapText="1"/>
    </xf>
    <xf numFmtId="0" fontId="22" fillId="11" borderId="0" xfId="3" applyFont="1" applyFill="1" applyBorder="1" applyAlignment="1">
      <alignment horizontal="center" vertical="center" wrapText="1"/>
    </xf>
    <xf numFmtId="2" fontId="22" fillId="11" borderId="0" xfId="0" applyNumberFormat="1" applyFont="1" applyFill="1" applyBorder="1" applyAlignment="1">
      <alignment horizontal="center" vertical="center" wrapText="1"/>
    </xf>
    <xf numFmtId="166" fontId="22" fillId="11" borderId="0" xfId="1" applyNumberFormat="1" applyFont="1" applyFill="1" applyBorder="1" applyAlignment="1">
      <alignment horizontal="center" vertical="center" wrapText="1"/>
    </xf>
    <xf numFmtId="0" fontId="31" fillId="4" borderId="40" xfId="0" applyFont="1" applyFill="1" applyBorder="1" applyAlignment="1">
      <alignment horizontal="center" vertical="center"/>
    </xf>
    <xf numFmtId="0" fontId="23" fillId="4" borderId="39" xfId="0" applyFont="1" applyFill="1" applyBorder="1" applyAlignment="1">
      <alignment horizontal="center" vertical="center"/>
    </xf>
    <xf numFmtId="2" fontId="23" fillId="4" borderId="40" xfId="0" applyNumberFormat="1" applyFont="1" applyFill="1" applyBorder="1" applyAlignment="1">
      <alignment horizontal="center" vertical="center"/>
    </xf>
    <xf numFmtId="166" fontId="31" fillId="4" borderId="40" xfId="0" applyNumberFormat="1" applyFont="1" applyFill="1" applyBorder="1" applyAlignment="1">
      <alignment horizontal="center" vertical="center"/>
    </xf>
    <xf numFmtId="166" fontId="23" fillId="4" borderId="8" xfId="0" applyNumberFormat="1" applyFont="1" applyFill="1" applyBorder="1" applyAlignment="1">
      <alignment horizontal="center" vertical="center"/>
    </xf>
    <xf numFmtId="0" fontId="26" fillId="4" borderId="40" xfId="0" applyFont="1" applyFill="1" applyBorder="1" applyAlignment="1">
      <alignment horizontal="center" vertical="center" wrapText="1"/>
    </xf>
    <xf numFmtId="2" fontId="23" fillId="4" borderId="40" xfId="3" applyNumberFormat="1" applyFont="1" applyFill="1" applyBorder="1" applyAlignment="1">
      <alignment horizontal="center" vertical="center" wrapText="1"/>
    </xf>
    <xf numFmtId="166" fontId="31" fillId="4" borderId="40" xfId="3" applyNumberFormat="1" applyFont="1" applyFill="1" applyBorder="1" applyAlignment="1">
      <alignment horizontal="center" vertical="center" wrapText="1"/>
    </xf>
    <xf numFmtId="166" fontId="23" fillId="4" borderId="12" xfId="0" applyNumberFormat="1" applyFont="1" applyFill="1" applyBorder="1" applyAlignment="1">
      <alignment horizontal="center" vertical="center"/>
    </xf>
    <xf numFmtId="0" fontId="24" fillId="4" borderId="40" xfId="0" applyFont="1" applyFill="1" applyBorder="1" applyAlignment="1">
      <alignment horizontal="center" vertical="top" wrapText="1"/>
    </xf>
    <xf numFmtId="0" fontId="24" fillId="4" borderId="40" xfId="0" applyFont="1" applyFill="1" applyBorder="1" applyAlignment="1">
      <alignment horizontal="center" wrapText="1"/>
    </xf>
    <xf numFmtId="0" fontId="30" fillId="4" borderId="12" xfId="0" applyFont="1" applyFill="1" applyBorder="1" applyAlignment="1">
      <alignment horizontal="center" wrapText="1"/>
    </xf>
    <xf numFmtId="0" fontId="24" fillId="4" borderId="12" xfId="0" applyFont="1" applyFill="1" applyBorder="1" applyAlignment="1">
      <alignment horizontal="center" wrapText="1"/>
    </xf>
    <xf numFmtId="0" fontId="24" fillId="4" borderId="97" xfId="0" applyFont="1" applyFill="1" applyBorder="1" applyAlignment="1">
      <alignment horizontal="center" wrapText="1"/>
    </xf>
    <xf numFmtId="0" fontId="31" fillId="4" borderId="12" xfId="0" applyFont="1" applyFill="1" applyBorder="1" applyAlignment="1">
      <alignment horizontal="center" vertical="center"/>
    </xf>
    <xf numFmtId="0" fontId="23" fillId="4" borderId="10" xfId="3" applyFont="1" applyFill="1" applyBorder="1" applyAlignment="1">
      <alignment horizontal="center" vertical="center" wrapText="1"/>
    </xf>
    <xf numFmtId="2" fontId="23" fillId="4" borderId="12" xfId="3" applyNumberFormat="1" applyFont="1" applyFill="1" applyBorder="1" applyAlignment="1">
      <alignment horizontal="center" vertical="center" wrapText="1"/>
    </xf>
    <xf numFmtId="166" fontId="31" fillId="4" borderId="12" xfId="3" applyNumberFormat="1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top" wrapText="1"/>
    </xf>
    <xf numFmtId="0" fontId="24" fillId="4" borderId="97" xfId="0" applyFont="1" applyFill="1" applyBorder="1" applyAlignment="1">
      <alignment horizontal="center" vertical="top" wrapText="1"/>
    </xf>
    <xf numFmtId="0" fontId="31" fillId="4" borderId="8" xfId="3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40" xfId="0" applyFont="1" applyFill="1" applyBorder="1" applyAlignment="1">
      <alignment horizontal="center" vertical="center" wrapText="1"/>
    </xf>
    <xf numFmtId="0" fontId="23" fillId="4" borderId="39" xfId="3" applyFont="1" applyFill="1" applyBorder="1" applyAlignment="1">
      <alignment horizontal="center" vertical="center" wrapText="1"/>
    </xf>
    <xf numFmtId="2" fontId="23" fillId="4" borderId="40" xfId="6" applyNumberFormat="1" applyFont="1" applyFill="1" applyBorder="1" applyAlignment="1">
      <alignment horizontal="center" vertical="center"/>
    </xf>
    <xf numFmtId="166" fontId="31" fillId="4" borderId="40" xfId="1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 wrapText="1"/>
    </xf>
    <xf numFmtId="0" fontId="24" fillId="4" borderId="97" xfId="0" applyFont="1" applyFill="1" applyBorder="1" applyAlignment="1">
      <alignment horizontal="center" vertical="center" wrapText="1"/>
    </xf>
    <xf numFmtId="4" fontId="23" fillId="4" borderId="10" xfId="3" applyNumberFormat="1" applyFont="1" applyFill="1" applyBorder="1" applyAlignment="1">
      <alignment horizontal="center" vertical="center"/>
    </xf>
    <xf numFmtId="2" fontId="23" fillId="4" borderId="12" xfId="1" applyNumberFormat="1" applyFont="1" applyFill="1" applyBorder="1" applyAlignment="1">
      <alignment horizontal="center" vertical="center"/>
    </xf>
    <xf numFmtId="166" fontId="31" fillId="4" borderId="12" xfId="1" applyNumberFormat="1" applyFont="1" applyFill="1" applyBorder="1" applyAlignment="1">
      <alignment horizontal="center" vertical="center"/>
    </xf>
    <xf numFmtId="166" fontId="23" fillId="4" borderId="12" xfId="1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  <protection locked="0"/>
    </xf>
    <xf numFmtId="4" fontId="23" fillId="4" borderId="12" xfId="3" applyNumberFormat="1" applyFont="1" applyFill="1" applyBorder="1" applyAlignment="1">
      <alignment horizontal="center" vertical="center"/>
    </xf>
    <xf numFmtId="0" fontId="24" fillId="4" borderId="97" xfId="0" applyFont="1" applyFill="1" applyBorder="1" applyAlignment="1" applyProtection="1">
      <alignment horizontal="center" vertical="center" wrapText="1"/>
      <protection locked="0"/>
    </xf>
    <xf numFmtId="0" fontId="23" fillId="4" borderId="10" xfId="3" applyFont="1" applyFill="1" applyBorder="1" applyAlignment="1">
      <alignment horizontal="center" vertical="center"/>
    </xf>
    <xf numFmtId="2" fontId="23" fillId="4" borderId="40" xfId="1" applyNumberFormat="1" applyFont="1" applyFill="1" applyBorder="1" applyAlignment="1">
      <alignment horizontal="center" vertical="center"/>
    </xf>
    <xf numFmtId="0" fontId="22" fillId="4" borderId="40" xfId="0" applyFont="1" applyFill="1" applyBorder="1" applyAlignment="1">
      <alignment horizontal="center" vertical="center" wrapText="1"/>
    </xf>
    <xf numFmtId="0" fontId="22" fillId="4" borderId="97" xfId="0" applyFont="1" applyFill="1" applyBorder="1" applyAlignment="1">
      <alignment horizontal="center" vertical="center" wrapText="1"/>
    </xf>
    <xf numFmtId="0" fontId="31" fillId="4" borderId="39" xfId="3" applyFont="1" applyFill="1" applyBorder="1" applyAlignment="1">
      <alignment horizontal="center" vertical="center" wrapText="1"/>
    </xf>
    <xf numFmtId="0" fontId="24" fillId="4" borderId="41" xfId="0" applyFont="1" applyFill="1" applyBorder="1" applyAlignment="1">
      <alignment horizontal="center" vertical="top" wrapText="1"/>
    </xf>
    <xf numFmtId="49" fontId="23" fillId="4" borderId="39" xfId="3" applyNumberFormat="1" applyFont="1" applyFill="1" applyBorder="1" applyAlignment="1">
      <alignment horizontal="center" vertical="top" wrapText="1"/>
    </xf>
    <xf numFmtId="49" fontId="31" fillId="4" borderId="40" xfId="3" applyNumberFormat="1" applyFont="1" applyFill="1" applyBorder="1" applyAlignment="1">
      <alignment horizontal="center" vertical="center" wrapText="1"/>
    </xf>
    <xf numFmtId="49" fontId="24" fillId="4" borderId="41" xfId="3" applyNumberFormat="1" applyFont="1" applyFill="1" applyBorder="1" applyAlignment="1">
      <alignment horizontal="center" vertical="center" wrapText="1"/>
    </xf>
    <xf numFmtId="49" fontId="31" fillId="4" borderId="39" xfId="3" applyNumberFormat="1" applyFont="1" applyFill="1" applyBorder="1" applyAlignment="1">
      <alignment horizontal="center" vertical="center" wrapText="1"/>
    </xf>
    <xf numFmtId="49" fontId="24" fillId="4" borderId="44" xfId="3" applyNumberFormat="1" applyFont="1" applyFill="1" applyBorder="1" applyAlignment="1">
      <alignment horizontal="center" vertical="center" wrapText="1"/>
    </xf>
    <xf numFmtId="4" fontId="23" fillId="4" borderId="44" xfId="1" applyNumberFormat="1" applyFont="1" applyFill="1" applyBorder="1" applyAlignment="1">
      <alignment horizontal="right" vertical="center"/>
    </xf>
    <xf numFmtId="4" fontId="1" fillId="4" borderId="44" xfId="0" applyNumberFormat="1" applyFont="1" applyFill="1" applyBorder="1" applyAlignment="1">
      <alignment horizontal="right" vertical="center"/>
    </xf>
    <xf numFmtId="4" fontId="3" fillId="4" borderId="93" xfId="0" applyNumberFormat="1" applyFont="1" applyFill="1" applyBorder="1" applyAlignment="1">
      <alignment horizontal="right" vertical="center"/>
    </xf>
    <xf numFmtId="4" fontId="3" fillId="11" borderId="93" xfId="0" applyNumberFormat="1" applyFont="1" applyFill="1" applyBorder="1" applyAlignment="1">
      <alignment horizontal="right" vertical="center"/>
    </xf>
    <xf numFmtId="4" fontId="22" fillId="11" borderId="90" xfId="1" applyNumberFormat="1" applyFont="1" applyFill="1" applyBorder="1" applyAlignment="1">
      <alignment horizontal="center" vertical="center" wrapText="1"/>
    </xf>
    <xf numFmtId="4" fontId="23" fillId="4" borderId="44" xfId="0" applyNumberFormat="1" applyFont="1" applyFill="1" applyBorder="1" applyAlignment="1">
      <alignment horizontal="right" vertical="center"/>
    </xf>
    <xf numFmtId="4" fontId="5" fillId="4" borderId="0" xfId="0" applyNumberFormat="1" applyFont="1" applyFill="1" applyAlignment="1">
      <alignment horizontal="right" vertical="center"/>
    </xf>
    <xf numFmtId="4" fontId="5" fillId="0" borderId="0" xfId="0" applyNumberFormat="1" applyFont="1" applyAlignment="1">
      <alignment horizontal="right" vertical="top"/>
    </xf>
    <xf numFmtId="4" fontId="9" fillId="11" borderId="49" xfId="0" applyNumberFormat="1" applyFont="1" applyFill="1" applyBorder="1" applyAlignment="1">
      <alignment horizontal="right" vertical="center"/>
    </xf>
    <xf numFmtId="4" fontId="5" fillId="11" borderId="49" xfId="0" applyNumberFormat="1" applyFont="1" applyFill="1" applyBorder="1" applyAlignment="1">
      <alignment horizontal="right" vertical="top"/>
    </xf>
    <xf numFmtId="4" fontId="5" fillId="11" borderId="50" xfId="0" applyNumberFormat="1" applyFont="1" applyFill="1" applyBorder="1" applyAlignment="1">
      <alignment horizontal="right" vertical="top"/>
    </xf>
    <xf numFmtId="4" fontId="19" fillId="11" borderId="0" xfId="0" applyNumberFormat="1" applyFont="1" applyFill="1" applyBorder="1" applyAlignment="1">
      <alignment horizontal="right" vertical="center"/>
    </xf>
    <xf numFmtId="4" fontId="5" fillId="11" borderId="0" xfId="0" applyNumberFormat="1" applyFont="1" applyFill="1" applyBorder="1" applyAlignment="1">
      <alignment horizontal="right" vertical="top"/>
    </xf>
    <xf numFmtId="4" fontId="20" fillId="11" borderId="0" xfId="2" applyNumberFormat="1" applyFont="1" applyFill="1" applyBorder="1" applyAlignment="1">
      <alignment horizontal="right" vertical="center"/>
    </xf>
    <xf numFmtId="4" fontId="20" fillId="11" borderId="77" xfId="2" applyNumberFormat="1" applyFont="1" applyFill="1" applyBorder="1" applyAlignment="1">
      <alignment horizontal="right" vertical="center"/>
    </xf>
    <xf numFmtId="4" fontId="1" fillId="4" borderId="41" xfId="0" applyNumberFormat="1" applyFont="1" applyFill="1" applyBorder="1" applyAlignment="1">
      <alignment horizontal="right" vertical="center"/>
    </xf>
    <xf numFmtId="4" fontId="1" fillId="4" borderId="100" xfId="0" applyNumberFormat="1" applyFont="1" applyFill="1" applyBorder="1" applyAlignment="1">
      <alignment horizontal="right" vertical="center"/>
    </xf>
    <xf numFmtId="4" fontId="22" fillId="4" borderId="40" xfId="0" applyNumberFormat="1" applyFont="1" applyFill="1" applyBorder="1" applyAlignment="1">
      <alignment horizontal="right" vertical="center"/>
    </xf>
    <xf numFmtId="4" fontId="3" fillId="4" borderId="100" xfId="0" applyNumberFormat="1" applyFont="1" applyFill="1" applyBorder="1" applyAlignment="1">
      <alignment horizontal="right" vertical="center"/>
    </xf>
    <xf numFmtId="4" fontId="22" fillId="8" borderId="40" xfId="3" applyNumberFormat="1" applyFont="1" applyFill="1" applyBorder="1" applyAlignment="1">
      <alignment horizontal="right" vertical="center" wrapText="1"/>
    </xf>
    <xf numFmtId="4" fontId="1" fillId="8" borderId="44" xfId="0" applyNumberFormat="1" applyFont="1" applyFill="1" applyBorder="1" applyAlignment="1">
      <alignment horizontal="right" vertical="center"/>
    </xf>
    <xf numFmtId="4" fontId="3" fillId="4" borderId="41" xfId="0" applyNumberFormat="1" applyFont="1" applyFill="1" applyBorder="1" applyAlignment="1">
      <alignment horizontal="right" vertical="center"/>
    </xf>
    <xf numFmtId="4" fontId="22" fillId="4" borderId="10" xfId="0" applyNumberFormat="1" applyFont="1" applyFill="1" applyBorder="1" applyAlignment="1">
      <alignment horizontal="right" vertical="center"/>
    </xf>
    <xf numFmtId="4" fontId="22" fillId="4" borderId="44" xfId="0" applyNumberFormat="1" applyFont="1" applyFill="1" applyBorder="1" applyAlignment="1">
      <alignment horizontal="right" vertical="center"/>
    </xf>
    <xf numFmtId="4" fontId="3" fillId="4" borderId="40" xfId="0" applyNumberFormat="1" applyFont="1" applyFill="1" applyBorder="1" applyAlignment="1">
      <alignment horizontal="right" vertical="center"/>
    </xf>
    <xf numFmtId="4" fontId="1" fillId="4" borderId="41" xfId="0" applyNumberFormat="1" applyFont="1" applyFill="1" applyBorder="1" applyAlignment="1">
      <alignment horizontal="right" vertical="center" wrapText="1"/>
    </xf>
    <xf numFmtId="4" fontId="22" fillId="4" borderId="11" xfId="0" applyNumberFormat="1" applyFont="1" applyFill="1" applyBorder="1" applyAlignment="1">
      <alignment horizontal="right" vertical="center"/>
    </xf>
    <xf numFmtId="4" fontId="3" fillId="8" borderId="41" xfId="0" applyNumberFormat="1" applyFont="1" applyFill="1" applyBorder="1" applyAlignment="1">
      <alignment horizontal="right" vertical="center"/>
    </xf>
    <xf numFmtId="4" fontId="22" fillId="4" borderId="39" xfId="0" applyNumberFormat="1" applyFont="1" applyFill="1" applyBorder="1" applyAlignment="1">
      <alignment horizontal="right" vertical="center"/>
    </xf>
    <xf numFmtId="4" fontId="22" fillId="8" borderId="44" xfId="0" applyNumberFormat="1" applyFont="1" applyFill="1" applyBorder="1" applyAlignment="1">
      <alignment horizontal="right" vertical="center"/>
    </xf>
    <xf numFmtId="4" fontId="20" fillId="4" borderId="0" xfId="0" applyNumberFormat="1" applyFont="1" applyFill="1" applyAlignment="1">
      <alignment horizontal="right" vertical="center"/>
    </xf>
    <xf numFmtId="4" fontId="5" fillId="4" borderId="0" xfId="0" applyNumberFormat="1" applyFont="1" applyFill="1" applyAlignment="1">
      <alignment horizontal="right"/>
    </xf>
    <xf numFmtId="4" fontId="5" fillId="4" borderId="0" xfId="0" applyNumberFormat="1" applyFont="1" applyFill="1" applyAlignment="1">
      <alignment horizontal="right" vertical="top"/>
    </xf>
    <xf numFmtId="4" fontId="5" fillId="16" borderId="0" xfId="0" applyNumberFormat="1" applyFont="1" applyFill="1" applyAlignment="1">
      <alignment horizontal="right" vertical="center"/>
    </xf>
    <xf numFmtId="4" fontId="5" fillId="16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center"/>
    </xf>
    <xf numFmtId="0" fontId="3" fillId="0" borderId="86" xfId="9" applyFont="1" applyBorder="1" applyAlignment="1">
      <alignment horizontal="center"/>
    </xf>
    <xf numFmtId="10" fontId="3" fillId="0" borderId="44" xfId="7" applyNumberFormat="1" applyFont="1" applyBorder="1" applyAlignment="1">
      <alignment horizontal="center"/>
    </xf>
    <xf numFmtId="0" fontId="3" fillId="0" borderId="44" xfId="7" applyNumberFormat="1" applyFont="1" applyBorder="1" applyAlignment="1">
      <alignment horizontal="center"/>
    </xf>
    <xf numFmtId="10" fontId="3" fillId="4" borderId="44" xfId="11" applyNumberFormat="1" applyFont="1" applyFill="1" applyBorder="1"/>
    <xf numFmtId="0" fontId="3" fillId="0" borderId="78" xfId="9" applyFont="1" applyBorder="1" applyAlignment="1">
      <alignment horizontal="center"/>
    </xf>
    <xf numFmtId="4" fontId="1" fillId="8" borderId="86" xfId="0" applyNumberFormat="1" applyFont="1" applyFill="1" applyBorder="1" applyAlignment="1">
      <alignment horizontal="right" vertical="center"/>
    </xf>
    <xf numFmtId="49" fontId="23" fillId="4" borderId="39" xfId="3" applyNumberFormat="1" applyFont="1" applyFill="1" applyBorder="1" applyAlignment="1">
      <alignment horizontal="center" vertical="center" wrapText="1"/>
    </xf>
    <xf numFmtId="4" fontId="3" fillId="4" borderId="44" xfId="0" applyNumberFormat="1" applyFont="1" applyFill="1" applyBorder="1" applyAlignment="1">
      <alignment horizontal="right" vertical="center"/>
    </xf>
    <xf numFmtId="49" fontId="22" fillId="11" borderId="89" xfId="3" applyNumberFormat="1" applyFont="1" applyFill="1" applyBorder="1" applyAlignment="1">
      <alignment horizontal="center" vertical="center" wrapText="1"/>
    </xf>
    <xf numFmtId="49" fontId="22" fillId="11" borderId="14" xfId="3" applyNumberFormat="1" applyFont="1" applyFill="1" applyBorder="1" applyAlignment="1">
      <alignment horizontal="center" vertical="center" wrapText="1"/>
    </xf>
    <xf numFmtId="0" fontId="22" fillId="8" borderId="39" xfId="3" applyFont="1" applyFill="1" applyBorder="1" applyAlignment="1">
      <alignment horizontal="center" vertical="top" wrapText="1"/>
    </xf>
    <xf numFmtId="0" fontId="22" fillId="8" borderId="11" xfId="3" applyFont="1" applyFill="1" applyBorder="1" applyAlignment="1">
      <alignment horizontal="center" vertical="top" wrapText="1"/>
    </xf>
    <xf numFmtId="0" fontId="22" fillId="11" borderId="39" xfId="3" applyFont="1" applyFill="1" applyBorder="1" applyAlignment="1">
      <alignment horizontal="center" vertical="top" wrapText="1"/>
    </xf>
    <xf numFmtId="0" fontId="23" fillId="4" borderId="10" xfId="0" applyFont="1" applyFill="1" applyBorder="1" applyAlignment="1">
      <alignment horizontal="center" vertical="center"/>
    </xf>
    <xf numFmtId="0" fontId="22" fillId="11" borderId="102" xfId="3" applyFont="1" applyFill="1" applyBorder="1" applyAlignment="1">
      <alignment horizontal="center" vertical="center" wrapText="1"/>
    </xf>
    <xf numFmtId="0" fontId="22" fillId="8" borderId="11" xfId="3" applyFont="1" applyFill="1" applyBorder="1" applyAlignment="1">
      <alignment horizontal="center" vertical="center" wrapText="1"/>
    </xf>
    <xf numFmtId="0" fontId="23" fillId="4" borderId="11" xfId="3" applyFont="1" applyFill="1" applyBorder="1" applyAlignment="1">
      <alignment horizontal="center" vertical="center" wrapText="1"/>
    </xf>
    <xf numFmtId="49" fontId="22" fillId="8" borderId="102" xfId="3" applyNumberFormat="1" applyFont="1" applyFill="1" applyBorder="1" applyAlignment="1">
      <alignment horizontal="center" vertical="top" wrapText="1"/>
    </xf>
    <xf numFmtId="0" fontId="23" fillId="4" borderId="86" xfId="0" applyFont="1" applyFill="1" applyBorder="1" applyAlignment="1">
      <alignment horizontal="center" vertical="center"/>
    </xf>
    <xf numFmtId="0" fontId="23" fillId="4" borderId="103" xfId="0" applyFont="1" applyFill="1" applyBorder="1" applyAlignment="1">
      <alignment horizontal="center" vertical="center"/>
    </xf>
    <xf numFmtId="49" fontId="22" fillId="11" borderId="102" xfId="3" applyNumberFormat="1" applyFont="1" applyFill="1" applyBorder="1" applyAlignment="1">
      <alignment horizontal="center" vertical="top" wrapText="1"/>
    </xf>
    <xf numFmtId="0" fontId="23" fillId="4" borderId="86" xfId="0" applyFont="1" applyFill="1" applyBorder="1" applyAlignment="1" applyProtection="1">
      <alignment horizontal="center" vertical="center"/>
      <protection locked="0"/>
    </xf>
    <xf numFmtId="0" fontId="23" fillId="4" borderId="44" xfId="0" applyFont="1" applyFill="1" applyBorder="1" applyAlignment="1" applyProtection="1">
      <alignment horizontal="center" vertical="center" wrapText="1"/>
      <protection locked="0"/>
    </xf>
    <xf numFmtId="0" fontId="23" fillId="4" borderId="10" xfId="0" applyFont="1" applyFill="1" applyBorder="1" applyAlignment="1" applyProtection="1">
      <alignment horizontal="center" vertical="center"/>
      <protection locked="0"/>
    </xf>
    <xf numFmtId="0" fontId="23" fillId="4" borderId="97" xfId="0" applyFont="1" applyFill="1" applyBorder="1" applyAlignment="1" applyProtection="1">
      <alignment horizontal="center" vertical="center"/>
      <protection locked="0"/>
    </xf>
    <xf numFmtId="49" fontId="22" fillId="11" borderId="39" xfId="3" applyNumberFormat="1" applyFont="1" applyFill="1" applyBorder="1" applyAlignment="1">
      <alignment horizontal="center" vertical="top" wrapText="1"/>
    </xf>
    <xf numFmtId="49" fontId="22" fillId="8" borderId="39" xfId="3" applyNumberFormat="1" applyFont="1" applyFill="1" applyBorder="1" applyAlignment="1">
      <alignment horizontal="center" vertical="top" wrapText="1"/>
    </xf>
    <xf numFmtId="49" fontId="23" fillId="11" borderId="80" xfId="3" applyNumberFormat="1" applyFont="1" applyFill="1" applyBorder="1" applyAlignment="1">
      <alignment horizontal="center" vertical="top" wrapText="1"/>
    </xf>
    <xf numFmtId="49" fontId="19" fillId="11" borderId="14" xfId="0" applyNumberFormat="1" applyFont="1" applyFill="1" applyBorder="1" applyAlignment="1">
      <alignment horizontal="center" vertical="top"/>
    </xf>
    <xf numFmtId="49" fontId="21" fillId="11" borderId="14" xfId="0" applyNumberFormat="1" applyFont="1" applyFill="1" applyBorder="1" applyAlignment="1">
      <alignment horizontal="center" vertical="top"/>
    </xf>
    <xf numFmtId="0" fontId="21" fillId="11" borderId="14" xfId="0" applyFont="1" applyFill="1" applyBorder="1" applyAlignment="1">
      <alignment horizontal="center" vertical="top"/>
    </xf>
    <xf numFmtId="0" fontId="21" fillId="11" borderId="101" xfId="0" applyFont="1" applyFill="1" applyBorder="1" applyAlignment="1">
      <alignment horizontal="center" vertical="top"/>
    </xf>
    <xf numFmtId="4" fontId="5" fillId="11" borderId="77" xfId="0" applyNumberFormat="1" applyFont="1" applyFill="1" applyBorder="1" applyAlignment="1">
      <alignment horizontal="right" vertical="top"/>
    </xf>
    <xf numFmtId="4" fontId="5" fillId="11" borderId="45" xfId="0" applyNumberFormat="1" applyFont="1" applyFill="1" applyBorder="1" applyAlignment="1">
      <alignment horizontal="right" vertical="top"/>
    </xf>
    <xf numFmtId="4" fontId="5" fillId="11" borderId="93" xfId="0" applyNumberFormat="1" applyFont="1" applyFill="1" applyBorder="1" applyAlignment="1">
      <alignment horizontal="right" vertical="top"/>
    </xf>
    <xf numFmtId="0" fontId="22" fillId="11" borderId="89" xfId="3" applyFont="1" applyFill="1" applyBorder="1" applyAlignment="1">
      <alignment horizontal="center" vertical="center" wrapText="1"/>
    </xf>
    <xf numFmtId="2" fontId="22" fillId="11" borderId="89" xfId="0" applyNumberFormat="1" applyFont="1" applyFill="1" applyBorder="1" applyAlignment="1">
      <alignment horizontal="center" vertical="center" wrapText="1"/>
    </xf>
    <xf numFmtId="166" fontId="22" fillId="11" borderId="89" xfId="1" applyNumberFormat="1" applyFont="1" applyFill="1" applyBorder="1" applyAlignment="1">
      <alignment horizontal="center" vertical="center" wrapText="1"/>
    </xf>
    <xf numFmtId="4" fontId="3" fillId="11" borderId="89" xfId="0" applyNumberFormat="1" applyFont="1" applyFill="1" applyBorder="1" applyAlignment="1">
      <alignment horizontal="center" vertical="center" wrapText="1"/>
    </xf>
    <xf numFmtId="4" fontId="1" fillId="4" borderId="97" xfId="0" applyNumberFormat="1" applyFont="1" applyFill="1" applyBorder="1" applyAlignment="1">
      <alignment horizontal="right" vertical="center"/>
    </xf>
    <xf numFmtId="4" fontId="3" fillId="4" borderId="86" xfId="0" applyNumberFormat="1" applyFont="1" applyFill="1" applyBorder="1" applyAlignment="1">
      <alignment horizontal="right" vertical="center"/>
    </xf>
    <xf numFmtId="4" fontId="1" fillId="4" borderId="86" xfId="0" applyNumberFormat="1" applyFont="1" applyFill="1" applyBorder="1" applyAlignment="1">
      <alignment horizontal="right" vertical="center"/>
    </xf>
    <xf numFmtId="4" fontId="3" fillId="4" borderId="97" xfId="0" applyNumberFormat="1" applyFont="1" applyFill="1" applyBorder="1" applyAlignment="1">
      <alignment horizontal="right" vertical="center"/>
    </xf>
    <xf numFmtId="4" fontId="1" fillId="11" borderId="44" xfId="0" applyNumberFormat="1" applyFont="1" applyFill="1" applyBorder="1" applyAlignment="1">
      <alignment horizontal="right" vertical="center"/>
    </xf>
    <xf numFmtId="4" fontId="1" fillId="4" borderId="44" xfId="0" applyNumberFormat="1" applyFont="1" applyFill="1" applyBorder="1" applyAlignment="1">
      <alignment horizontal="right" vertical="center" wrapText="1"/>
    </xf>
    <xf numFmtId="4" fontId="3" fillId="8" borderId="44" xfId="0" applyNumberFormat="1" applyFont="1" applyFill="1" applyBorder="1" applyAlignment="1">
      <alignment horizontal="right" vertical="center"/>
    </xf>
    <xf numFmtId="4" fontId="3" fillId="4" borderId="94" xfId="0" applyNumberFormat="1" applyFont="1" applyFill="1" applyBorder="1" applyAlignment="1">
      <alignment horizontal="right" vertical="center"/>
    </xf>
    <xf numFmtId="4" fontId="3" fillId="11" borderId="94" xfId="0" applyNumberFormat="1" applyFont="1" applyFill="1" applyBorder="1" applyAlignment="1">
      <alignment horizontal="right" vertical="center"/>
    </xf>
    <xf numFmtId="4" fontId="23" fillId="4" borderId="44" xfId="3" applyNumberFormat="1" applyFont="1" applyFill="1" applyBorder="1" applyAlignment="1">
      <alignment horizontal="center" vertical="center"/>
    </xf>
    <xf numFmtId="166" fontId="23" fillId="4" borderId="44" xfId="1" applyNumberFormat="1" applyFont="1" applyFill="1" applyBorder="1" applyAlignment="1">
      <alignment horizontal="center" vertical="center"/>
    </xf>
    <xf numFmtId="0" fontId="6" fillId="11" borderId="57" xfId="0" applyNumberFormat="1" applyFont="1" applyFill="1" applyBorder="1" applyAlignment="1">
      <alignment vertical="top"/>
    </xf>
    <xf numFmtId="49" fontId="9" fillId="11" borderId="0" xfId="0" applyNumberFormat="1" applyFont="1" applyFill="1" applyBorder="1" applyAlignment="1">
      <alignment horizontal="center" vertical="top"/>
    </xf>
    <xf numFmtId="0" fontId="5" fillId="11" borderId="0" xfId="0" applyNumberFormat="1" applyFont="1" applyFill="1" applyBorder="1" applyAlignment="1">
      <alignment vertical="top" wrapText="1"/>
    </xf>
    <xf numFmtId="0" fontId="4" fillId="11" borderId="0" xfId="0" applyFont="1" applyFill="1" applyBorder="1" applyAlignment="1">
      <alignment vertical="top"/>
    </xf>
    <xf numFmtId="0" fontId="9" fillId="11" borderId="0" xfId="0" applyFont="1" applyFill="1" applyBorder="1" applyAlignment="1">
      <alignment horizontal="right" vertical="top"/>
    </xf>
    <xf numFmtId="0" fontId="9" fillId="11" borderId="0" xfId="0" applyFont="1" applyFill="1" applyBorder="1" applyAlignment="1">
      <alignment vertical="top"/>
    </xf>
    <xf numFmtId="0" fontId="9" fillId="11" borderId="57" xfId="0" applyNumberFormat="1" applyFont="1" applyFill="1" applyBorder="1" applyAlignment="1">
      <alignment vertical="top"/>
    </xf>
    <xf numFmtId="0" fontId="9" fillId="11" borderId="0" xfId="0" applyFont="1" applyFill="1" applyBorder="1" applyAlignment="1">
      <alignment horizontal="left" vertical="top"/>
    </xf>
    <xf numFmtId="44" fontId="5" fillId="11" borderId="0" xfId="2" applyFont="1" applyFill="1" applyBorder="1" applyAlignment="1">
      <alignment vertical="top"/>
    </xf>
    <xf numFmtId="0" fontId="4" fillId="11" borderId="57" xfId="0" applyNumberFormat="1" applyFont="1" applyFill="1" applyBorder="1" applyAlignment="1">
      <alignment vertical="top"/>
    </xf>
    <xf numFmtId="9" fontId="9" fillId="11" borderId="0" xfId="0" applyNumberFormat="1" applyFont="1" applyFill="1" applyBorder="1" applyAlignment="1">
      <alignment horizontal="left" vertical="top"/>
    </xf>
    <xf numFmtId="0" fontId="5" fillId="11" borderId="0" xfId="0" applyFont="1" applyFill="1" applyBorder="1" applyAlignment="1">
      <alignment horizontal="justify" vertical="top"/>
    </xf>
    <xf numFmtId="0" fontId="5" fillId="11" borderId="0" xfId="0" applyFont="1" applyFill="1" applyBorder="1" applyAlignment="1">
      <alignment vertical="top"/>
    </xf>
    <xf numFmtId="49" fontId="4" fillId="11" borderId="57" xfId="0" applyNumberFormat="1" applyFont="1" applyFill="1" applyBorder="1" applyAlignment="1">
      <alignment vertical="top"/>
    </xf>
    <xf numFmtId="49" fontId="4" fillId="11" borderId="0" xfId="0" applyNumberFormat="1" applyFont="1" applyFill="1" applyBorder="1" applyAlignment="1">
      <alignment horizontal="center" vertical="top"/>
    </xf>
    <xf numFmtId="0" fontId="4" fillId="11" borderId="95" xfId="0" applyFont="1" applyFill="1" applyBorder="1" applyAlignment="1">
      <alignment vertical="top"/>
    </xf>
    <xf numFmtId="49" fontId="4" fillId="11" borderId="77" xfId="0" applyNumberFormat="1" applyFont="1" applyFill="1" applyBorder="1" applyAlignment="1">
      <alignment horizontal="center" vertical="top"/>
    </xf>
    <xf numFmtId="0" fontId="5" fillId="11" borderId="77" xfId="0" applyNumberFormat="1" applyFont="1" applyFill="1" applyBorder="1" applyAlignment="1">
      <alignment vertical="top" wrapText="1"/>
    </xf>
    <xf numFmtId="0" fontId="9" fillId="11" borderId="77" xfId="0" applyFont="1" applyFill="1" applyBorder="1" applyAlignment="1">
      <alignment horizontal="left" vertical="top"/>
    </xf>
    <xf numFmtId="44" fontId="5" fillId="11" borderId="77" xfId="2" applyFont="1" applyFill="1" applyBorder="1" applyAlignment="1">
      <alignment vertical="top"/>
    </xf>
    <xf numFmtId="0" fontId="9" fillId="11" borderId="77" xfId="0" applyFont="1" applyFill="1" applyBorder="1" applyAlignment="1">
      <alignment vertical="top"/>
    </xf>
    <xf numFmtId="9" fontId="3" fillId="11" borderId="44" xfId="7" applyNumberFormat="1" applyFont="1" applyFill="1" applyBorder="1" applyAlignment="1">
      <alignment horizontal="center"/>
    </xf>
    <xf numFmtId="0" fontId="3" fillId="11" borderId="88" xfId="9" applyFont="1" applyFill="1" applyBorder="1" applyAlignment="1">
      <alignment horizontal="center"/>
    </xf>
    <xf numFmtId="0" fontId="3" fillId="11" borderId="89" xfId="9" applyFont="1" applyFill="1" applyBorder="1" applyAlignment="1">
      <alignment horizontal="center"/>
    </xf>
    <xf numFmtId="0" fontId="3" fillId="11" borderId="44" xfId="9" applyFont="1" applyFill="1" applyBorder="1" applyAlignment="1">
      <alignment vertical="center"/>
    </xf>
    <xf numFmtId="0" fontId="3" fillId="11" borderId="44" xfId="9" applyFont="1" applyFill="1" applyBorder="1"/>
    <xf numFmtId="49" fontId="3" fillId="11" borderId="44" xfId="9" applyNumberFormat="1" applyFont="1" applyFill="1" applyBorder="1"/>
    <xf numFmtId="4" fontId="1" fillId="8" borderId="41" xfId="0" applyNumberFormat="1" applyFont="1" applyFill="1" applyBorder="1" applyAlignment="1">
      <alignment horizontal="right" vertical="center"/>
    </xf>
    <xf numFmtId="4" fontId="1" fillId="11" borderId="41" xfId="0" applyNumberFormat="1" applyFont="1" applyFill="1" applyBorder="1" applyAlignment="1">
      <alignment horizontal="right" vertical="center"/>
    </xf>
    <xf numFmtId="0" fontId="23" fillId="6" borderId="39" xfId="0" applyFont="1" applyFill="1" applyBorder="1" applyAlignment="1">
      <alignment horizontal="center" vertical="center"/>
    </xf>
    <xf numFmtId="2" fontId="23" fillId="6" borderId="12" xfId="0" applyNumberFormat="1" applyFont="1" applyFill="1" applyBorder="1" applyAlignment="1">
      <alignment horizontal="center" vertical="center"/>
    </xf>
    <xf numFmtId="166" fontId="31" fillId="6" borderId="12" xfId="0" applyNumberFormat="1" applyFont="1" applyFill="1" applyBorder="1" applyAlignment="1">
      <alignment horizontal="center" vertical="center"/>
    </xf>
    <xf numFmtId="4" fontId="22" fillId="6" borderId="44" xfId="0" applyNumberFormat="1" applyFont="1" applyFill="1" applyBorder="1" applyAlignment="1">
      <alignment horizontal="right" vertical="center"/>
    </xf>
    <xf numFmtId="0" fontId="1" fillId="6" borderId="0" xfId="0" applyFont="1" applyFill="1" applyAlignment="1">
      <alignment horizontal="center" vertical="center"/>
    </xf>
    <xf numFmtId="0" fontId="31" fillId="6" borderId="40" xfId="0" applyFont="1" applyFill="1" applyBorder="1" applyAlignment="1">
      <alignment horizontal="center" vertical="center"/>
    </xf>
    <xf numFmtId="49" fontId="24" fillId="6" borderId="12" xfId="3" applyNumberFormat="1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/>
    </xf>
    <xf numFmtId="166" fontId="23" fillId="6" borderId="40" xfId="0" applyNumberFormat="1" applyFont="1" applyFill="1" applyBorder="1" applyAlignment="1">
      <alignment horizontal="center" vertical="center"/>
    </xf>
    <xf numFmtId="4" fontId="3" fillId="6" borderId="41" xfId="0" applyNumberFormat="1" applyFont="1" applyFill="1" applyBorder="1" applyAlignment="1">
      <alignment horizontal="right" vertical="center"/>
    </xf>
    <xf numFmtId="167" fontId="3" fillId="6" borderId="0" xfId="0" applyNumberFormat="1" applyFont="1" applyFill="1" applyAlignment="1">
      <alignment horizontal="center" vertical="center"/>
    </xf>
    <xf numFmtId="4" fontId="3" fillId="6" borderId="44" xfId="0" applyNumberFormat="1" applyFont="1" applyFill="1" applyBorder="1" applyAlignment="1">
      <alignment horizontal="right" vertical="center"/>
    </xf>
    <xf numFmtId="0" fontId="31" fillId="6" borderId="97" xfId="0" applyFont="1" applyFill="1" applyBorder="1" applyAlignment="1">
      <alignment horizontal="center" vertical="center"/>
    </xf>
    <xf numFmtId="49" fontId="24" fillId="6" borderId="97" xfId="3" applyNumberFormat="1" applyFont="1" applyFill="1" applyBorder="1" applyAlignment="1">
      <alignment horizontal="center" vertical="center" wrapText="1"/>
    </xf>
    <xf numFmtId="0" fontId="23" fillId="6" borderId="44" xfId="0" applyFont="1" applyFill="1" applyBorder="1" applyAlignment="1">
      <alignment horizontal="center" vertical="center"/>
    </xf>
    <xf numFmtId="49" fontId="22" fillId="6" borderId="97" xfId="3" applyNumberFormat="1" applyFont="1" applyFill="1" applyBorder="1" applyAlignment="1">
      <alignment horizontal="center" vertical="top"/>
    </xf>
    <xf numFmtId="49" fontId="31" fillId="6" borderId="97" xfId="3" applyNumberFormat="1" applyFont="1" applyFill="1" applyBorder="1" applyAlignment="1">
      <alignment horizontal="center" vertical="center"/>
    </xf>
    <xf numFmtId="0" fontId="23" fillId="6" borderId="40" xfId="3" applyFont="1" applyFill="1" applyBorder="1" applyAlignment="1">
      <alignment horizontal="center" vertical="center" wrapText="1"/>
    </xf>
    <xf numFmtId="0" fontId="31" fillId="6" borderId="40" xfId="3" applyFont="1" applyFill="1" applyBorder="1" applyAlignment="1">
      <alignment horizontal="center" vertical="center" wrapText="1"/>
    </xf>
    <xf numFmtId="0" fontId="3" fillId="6" borderId="0" xfId="0" applyFont="1" applyFill="1" applyAlignment="1">
      <alignment vertical="top"/>
    </xf>
    <xf numFmtId="0" fontId="23" fillId="6" borderId="44" xfId="0" applyFont="1" applyFill="1" applyBorder="1" applyAlignment="1">
      <alignment horizontal="center"/>
    </xf>
    <xf numFmtId="0" fontId="31" fillId="6" borderId="44" xfId="0" applyFont="1" applyFill="1" applyBorder="1" applyAlignment="1">
      <alignment horizontal="center" vertical="center"/>
    </xf>
    <xf numFmtId="49" fontId="24" fillId="6" borderId="44" xfId="3" applyNumberFormat="1" applyFont="1" applyFill="1" applyBorder="1" applyAlignment="1">
      <alignment horizontal="center" vertical="center" wrapText="1"/>
    </xf>
    <xf numFmtId="49" fontId="23" fillId="6" borderId="39" xfId="3" applyNumberFormat="1" applyFont="1" applyFill="1" applyBorder="1" applyAlignment="1">
      <alignment horizontal="center" vertical="top" wrapText="1"/>
    </xf>
    <xf numFmtId="49" fontId="23" fillId="6" borderId="40" xfId="3" applyNumberFormat="1" applyFont="1" applyFill="1" applyBorder="1" applyAlignment="1">
      <alignment horizontal="center" vertical="center" wrapText="1"/>
    </xf>
    <xf numFmtId="49" fontId="24" fillId="6" borderId="40" xfId="3" applyNumberFormat="1" applyFont="1" applyFill="1" applyBorder="1" applyAlignment="1">
      <alignment horizontal="center" vertical="center" wrapText="1"/>
    </xf>
    <xf numFmtId="0" fontId="5" fillId="6" borderId="0" xfId="0" applyFont="1" applyFill="1" applyAlignment="1"/>
    <xf numFmtId="0" fontId="5" fillId="6" borderId="0" xfId="0" applyFont="1" applyFill="1" applyAlignment="1">
      <alignment vertical="top"/>
    </xf>
    <xf numFmtId="166" fontId="23" fillId="4" borderId="40" xfId="3" applyNumberFormat="1" applyFont="1" applyFill="1" applyBorder="1" applyAlignment="1">
      <alignment horizontal="center" vertical="center" wrapText="1"/>
    </xf>
    <xf numFmtId="0" fontId="23" fillId="6" borderId="39" xfId="0" applyFont="1" applyFill="1" applyBorder="1" applyAlignment="1">
      <alignment horizontal="center"/>
    </xf>
    <xf numFmtId="49" fontId="23" fillId="6" borderId="44" xfId="3" applyNumberFormat="1" applyFont="1" applyFill="1" applyBorder="1" applyAlignment="1">
      <alignment horizontal="center" vertical="center" wrapText="1"/>
    </xf>
    <xf numFmtId="4" fontId="22" fillId="6" borderId="39" xfId="0" applyNumberFormat="1" applyFont="1" applyFill="1" applyBorder="1" applyAlignment="1">
      <alignment horizontal="right" vertical="center"/>
    </xf>
    <xf numFmtId="0" fontId="3" fillId="6" borderId="0" xfId="0" applyFont="1" applyFill="1" applyAlignment="1">
      <alignment vertical="top" wrapText="1"/>
    </xf>
    <xf numFmtId="0" fontId="23" fillId="4" borderId="0" xfId="3" applyFont="1" applyFill="1" applyBorder="1" applyAlignment="1">
      <alignment horizontal="center" vertical="center"/>
    </xf>
    <xf numFmtId="2" fontId="23" fillId="4" borderId="0" xfId="1" applyNumberFormat="1" applyFont="1" applyFill="1" applyBorder="1" applyAlignment="1">
      <alignment horizontal="center" vertical="center"/>
    </xf>
    <xf numFmtId="166" fontId="22" fillId="4" borderId="0" xfId="3" applyNumberFormat="1" applyFont="1" applyFill="1" applyBorder="1" applyAlignment="1">
      <alignment horizontal="right" vertical="center"/>
    </xf>
    <xf numFmtId="4" fontId="3" fillId="4" borderId="45" xfId="0" applyNumberFormat="1" applyFont="1" applyFill="1" applyBorder="1" applyAlignment="1">
      <alignment horizontal="right" vertical="center"/>
    </xf>
    <xf numFmtId="4" fontId="3" fillId="4" borderId="103" xfId="0" applyNumberFormat="1" applyFont="1" applyFill="1" applyBorder="1" applyAlignment="1">
      <alignment horizontal="right" vertical="center"/>
    </xf>
    <xf numFmtId="4" fontId="22" fillId="4" borderId="44" xfId="1" applyNumberFormat="1" applyFont="1" applyFill="1" applyBorder="1" applyAlignment="1">
      <alignment horizontal="right" vertical="center"/>
    </xf>
    <xf numFmtId="49" fontId="23" fillId="4" borderId="97" xfId="3" applyNumberFormat="1" applyFont="1" applyFill="1" applyBorder="1" applyAlignment="1">
      <alignment horizontal="center" vertical="center" wrapText="1"/>
    </xf>
    <xf numFmtId="4" fontId="22" fillId="11" borderId="44" xfId="1" applyNumberFormat="1" applyFont="1" applyFill="1" applyBorder="1" applyAlignment="1">
      <alignment horizontal="right" vertical="center"/>
    </xf>
    <xf numFmtId="4" fontId="22" fillId="6" borderId="44" xfId="1" applyNumberFormat="1" applyFont="1" applyFill="1" applyBorder="1" applyAlignment="1">
      <alignment horizontal="right" vertical="center"/>
    </xf>
    <xf numFmtId="0" fontId="23" fillId="13" borderId="39" xfId="0" applyFont="1" applyFill="1" applyBorder="1" applyAlignment="1">
      <alignment horizontal="center" vertical="center"/>
    </xf>
    <xf numFmtId="166" fontId="23" fillId="13" borderId="12" xfId="0" applyNumberFormat="1" applyFont="1" applyFill="1" applyBorder="1" applyAlignment="1">
      <alignment horizontal="center" vertical="center"/>
    </xf>
    <xf numFmtId="4" fontId="22" fillId="13" borderId="44" xfId="0" applyNumberFormat="1" applyFont="1" applyFill="1" applyBorder="1" applyAlignment="1">
      <alignment horizontal="right" vertical="center"/>
    </xf>
    <xf numFmtId="4" fontId="3" fillId="13" borderId="9" xfId="0" applyNumberFormat="1" applyFont="1" applyFill="1" applyBorder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vertical="top" wrapText="1"/>
    </xf>
    <xf numFmtId="0" fontId="30" fillId="4" borderId="97" xfId="0" applyFont="1" applyFill="1" applyBorder="1" applyAlignment="1">
      <alignment horizontal="left" vertical="center" wrapText="1"/>
    </xf>
    <xf numFmtId="166" fontId="23" fillId="4" borderId="103" xfId="0" applyNumberFormat="1" applyFont="1" applyFill="1" applyBorder="1" applyAlignment="1">
      <alignment horizontal="center" vertical="center"/>
    </xf>
    <xf numFmtId="0" fontId="24" fillId="4" borderId="44" xfId="0" applyFont="1" applyFill="1" applyBorder="1" applyAlignment="1">
      <alignment horizontal="center" vertical="center" wrapText="1"/>
    </xf>
    <xf numFmtId="167" fontId="1" fillId="4" borderId="44" xfId="0" applyNumberFormat="1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vertical="top" wrapText="1"/>
    </xf>
    <xf numFmtId="0" fontId="24" fillId="6" borderId="40" xfId="0" applyFont="1" applyFill="1" applyBorder="1" applyAlignment="1">
      <alignment horizontal="center" vertical="center" wrapText="1"/>
    </xf>
    <xf numFmtId="2" fontId="23" fillId="6" borderId="40" xfId="0" applyNumberFormat="1" applyFont="1" applyFill="1" applyBorder="1" applyAlignment="1">
      <alignment horizontal="center" vertical="center"/>
    </xf>
    <xf numFmtId="166" fontId="31" fillId="6" borderId="40" xfId="0" applyNumberFormat="1" applyFont="1" applyFill="1" applyBorder="1" applyAlignment="1">
      <alignment horizontal="center" vertical="center"/>
    </xf>
    <xf numFmtId="166" fontId="23" fillId="6" borderId="8" xfId="0" applyNumberFormat="1" applyFont="1" applyFill="1" applyBorder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0" fontId="23" fillId="4" borderId="44" xfId="0" applyFont="1" applyFill="1" applyBorder="1" applyAlignment="1">
      <alignment horizontal="center"/>
    </xf>
    <xf numFmtId="0" fontId="31" fillId="11" borderId="44" xfId="3" applyFont="1" applyFill="1" applyBorder="1" applyAlignment="1">
      <alignment horizontal="center" vertical="center" wrapText="1"/>
    </xf>
    <xf numFmtId="0" fontId="31" fillId="6" borderId="44" xfId="3" applyFont="1" applyFill="1" applyBorder="1" applyAlignment="1">
      <alignment horizontal="center" vertical="center" wrapText="1"/>
    </xf>
    <xf numFmtId="0" fontId="27" fillId="6" borderId="44" xfId="3" applyFont="1" applyFill="1" applyBorder="1" applyAlignment="1">
      <alignment horizontal="center" vertical="center" wrapText="1"/>
    </xf>
    <xf numFmtId="49" fontId="23" fillId="13" borderId="44" xfId="3" applyNumberFormat="1" applyFont="1" applyFill="1" applyBorder="1" applyAlignment="1">
      <alignment horizontal="center" vertical="top" wrapText="1"/>
    </xf>
    <xf numFmtId="49" fontId="24" fillId="13" borderId="44" xfId="3" applyNumberFormat="1" applyFont="1" applyFill="1" applyBorder="1" applyAlignment="1">
      <alignment horizontal="center" vertical="center" wrapText="1"/>
    </xf>
    <xf numFmtId="0" fontId="23" fillId="13" borderId="44" xfId="0" applyFont="1" applyFill="1" applyBorder="1" applyAlignment="1">
      <alignment horizontal="center" vertical="center"/>
    </xf>
    <xf numFmtId="4" fontId="3" fillId="13" borderId="41" xfId="0" applyNumberFormat="1" applyFont="1" applyFill="1" applyBorder="1" applyAlignment="1">
      <alignment horizontal="right" vertical="center"/>
    </xf>
    <xf numFmtId="4" fontId="3" fillId="13" borderId="44" xfId="0" applyNumberFormat="1" applyFont="1" applyFill="1" applyBorder="1" applyAlignment="1">
      <alignment horizontal="right" vertical="center"/>
    </xf>
    <xf numFmtId="0" fontId="5" fillId="13" borderId="0" xfId="0" applyFont="1" applyFill="1" applyAlignment="1"/>
    <xf numFmtId="0" fontId="5" fillId="13" borderId="0" xfId="0" applyFont="1" applyFill="1" applyAlignment="1">
      <alignment vertical="top"/>
    </xf>
    <xf numFmtId="49" fontId="23" fillId="6" borderId="44" xfId="3" applyNumberFormat="1" applyFont="1" applyFill="1" applyBorder="1" applyAlignment="1">
      <alignment horizontal="center" vertical="top" wrapText="1"/>
    </xf>
    <xf numFmtId="49" fontId="31" fillId="6" borderId="44" xfId="3" applyNumberFormat="1" applyFont="1" applyFill="1" applyBorder="1" applyAlignment="1">
      <alignment horizontal="center" vertical="center" wrapText="1"/>
    </xf>
    <xf numFmtId="4" fontId="22" fillId="4" borderId="0" xfId="1" applyNumberFormat="1" applyFont="1" applyFill="1" applyBorder="1" applyAlignment="1">
      <alignment horizontal="right" vertical="center"/>
    </xf>
    <xf numFmtId="0" fontId="31" fillId="13" borderId="44" xfId="0" applyFont="1" applyFill="1" applyBorder="1" applyAlignment="1">
      <alignment horizontal="center" vertical="center"/>
    </xf>
    <xf numFmtId="49" fontId="24" fillId="13" borderId="97" xfId="3" applyNumberFormat="1" applyFont="1" applyFill="1" applyBorder="1" applyAlignment="1">
      <alignment horizontal="center" vertical="center" wrapText="1"/>
    </xf>
    <xf numFmtId="167" fontId="3" fillId="13" borderId="0" xfId="0" applyNumberFormat="1" applyFont="1" applyFill="1" applyAlignment="1">
      <alignment horizontal="center" vertical="center"/>
    </xf>
    <xf numFmtId="0" fontId="23" fillId="17" borderId="39" xfId="0" applyFont="1" applyFill="1" applyBorder="1" applyAlignment="1">
      <alignment horizontal="center" vertical="center"/>
    </xf>
    <xf numFmtId="0" fontId="26" fillId="17" borderId="40" xfId="0" applyFont="1" applyFill="1" applyBorder="1" applyAlignment="1">
      <alignment horizontal="center" vertical="center" wrapText="1"/>
    </xf>
    <xf numFmtId="0" fontId="24" fillId="17" borderId="12" xfId="0" applyFont="1" applyFill="1" applyBorder="1" applyAlignment="1">
      <alignment horizontal="center" wrapText="1"/>
    </xf>
    <xf numFmtId="4" fontId="22" fillId="17" borderId="44" xfId="0" applyNumberFormat="1" applyFont="1" applyFill="1" applyBorder="1" applyAlignment="1">
      <alignment horizontal="right" vertical="center"/>
    </xf>
    <xf numFmtId="4" fontId="3" fillId="17" borderId="86" xfId="0" applyNumberFormat="1" applyFont="1" applyFill="1" applyBorder="1" applyAlignment="1">
      <alignment horizontal="right" vertical="center"/>
    </xf>
    <xf numFmtId="167" fontId="1" fillId="17" borderId="0" xfId="0" applyNumberFormat="1" applyFont="1" applyFill="1" applyAlignment="1">
      <alignment horizontal="center" vertical="center"/>
    </xf>
    <xf numFmtId="0" fontId="1" fillId="17" borderId="0" xfId="0" applyFont="1" applyFill="1" applyAlignment="1">
      <alignment horizontal="center" vertical="center"/>
    </xf>
    <xf numFmtId="49" fontId="23" fillId="4" borderId="39" xfId="3" applyNumberFormat="1" applyFont="1" applyFill="1" applyBorder="1" applyAlignment="1">
      <alignment horizontal="center" vertical="center" wrapText="1"/>
    </xf>
    <xf numFmtId="4" fontId="22" fillId="11" borderId="0" xfId="1" applyNumberFormat="1" applyFont="1" applyFill="1" applyBorder="1" applyAlignment="1">
      <alignment horizontal="right" vertical="center" wrapText="1"/>
    </xf>
    <xf numFmtId="4" fontId="3" fillId="11" borderId="86" xfId="0" applyNumberFormat="1" applyFont="1" applyFill="1" applyBorder="1" applyAlignment="1">
      <alignment horizontal="right" vertical="center" wrapText="1"/>
    </xf>
    <xf numFmtId="4" fontId="3" fillId="11" borderId="88" xfId="0" applyNumberFormat="1" applyFont="1" applyFill="1" applyBorder="1" applyAlignment="1">
      <alignment horizontal="center" vertical="center" wrapText="1"/>
    </xf>
    <xf numFmtId="4" fontId="23" fillId="4" borderId="39" xfId="0" applyNumberFormat="1" applyFont="1" applyFill="1" applyBorder="1" applyAlignment="1">
      <alignment horizontal="right" vertical="center"/>
    </xf>
    <xf numFmtId="4" fontId="23" fillId="4" borderId="39" xfId="3" applyNumberFormat="1" applyFont="1" applyFill="1" applyBorder="1" applyAlignment="1">
      <alignment horizontal="right" vertical="center" wrapText="1"/>
    </xf>
    <xf numFmtId="4" fontId="22" fillId="13" borderId="39" xfId="0" applyNumberFormat="1" applyFont="1" applyFill="1" applyBorder="1" applyAlignment="1">
      <alignment horizontal="right" vertical="center"/>
    </xf>
    <xf numFmtId="4" fontId="22" fillId="17" borderId="39" xfId="0" applyNumberFormat="1" applyFont="1" applyFill="1" applyBorder="1" applyAlignment="1">
      <alignment horizontal="right" vertical="center"/>
    </xf>
    <xf numFmtId="4" fontId="3" fillId="17" borderId="44" xfId="0" applyNumberFormat="1" applyFont="1" applyFill="1" applyBorder="1" applyAlignment="1">
      <alignment horizontal="right" vertical="center"/>
    </xf>
    <xf numFmtId="4" fontId="22" fillId="8" borderId="40" xfId="0" applyNumberFormat="1" applyFont="1" applyFill="1" applyBorder="1" applyAlignment="1">
      <alignment horizontal="right" vertical="center"/>
    </xf>
    <xf numFmtId="4" fontId="1" fillId="11" borderId="44" xfId="0" applyNumberFormat="1" applyFont="1" applyFill="1" applyBorder="1" applyAlignment="1">
      <alignment vertical="center" wrapText="1"/>
    </xf>
    <xf numFmtId="4" fontId="23" fillId="4" borderId="10" xfId="0" applyNumberFormat="1" applyFont="1" applyFill="1" applyBorder="1" applyAlignment="1">
      <alignment horizontal="right" vertical="center"/>
    </xf>
    <xf numFmtId="4" fontId="1" fillId="8" borderId="44" xfId="0" applyNumberFormat="1" applyFont="1" applyFill="1" applyBorder="1" applyAlignment="1">
      <alignment horizontal="right" vertical="center"/>
    </xf>
    <xf numFmtId="4" fontId="1" fillId="8" borderId="44" xfId="0" applyNumberFormat="1" applyFont="1" applyFill="1" applyBorder="1" applyAlignment="1">
      <alignment vertical="center"/>
    </xf>
    <xf numFmtId="4" fontId="23" fillId="4" borderId="11" xfId="0" applyNumberFormat="1" applyFont="1" applyFill="1" applyBorder="1" applyAlignment="1">
      <alignment horizontal="right" vertical="center"/>
    </xf>
    <xf numFmtId="4" fontId="22" fillId="4" borderId="8" xfId="0" applyNumberFormat="1" applyFont="1" applyFill="1" applyBorder="1" applyAlignment="1">
      <alignment horizontal="right" vertical="center"/>
    </xf>
    <xf numFmtId="4" fontId="23" fillId="4" borderId="39" xfId="1" applyNumberFormat="1" applyFont="1" applyFill="1" applyBorder="1" applyAlignment="1">
      <alignment horizontal="right" vertical="center" wrapText="1"/>
    </xf>
    <xf numFmtId="4" fontId="23" fillId="4" borderId="11" xfId="0" applyNumberFormat="1" applyFont="1" applyFill="1" applyBorder="1" applyAlignment="1">
      <alignment horizontal="right" vertical="center" wrapText="1"/>
    </xf>
    <xf numFmtId="4" fontId="22" fillId="8" borderId="11" xfId="0" applyNumberFormat="1" applyFont="1" applyFill="1" applyBorder="1" applyAlignment="1">
      <alignment horizontal="right" vertical="center"/>
    </xf>
    <xf numFmtId="4" fontId="1" fillId="11" borderId="44" xfId="0" applyNumberFormat="1" applyFont="1" applyFill="1" applyBorder="1" applyAlignment="1">
      <alignment vertical="center"/>
    </xf>
    <xf numFmtId="4" fontId="22" fillId="6" borderId="40" xfId="3" applyNumberFormat="1" applyFont="1" applyFill="1" applyBorder="1" applyAlignment="1">
      <alignment horizontal="right" vertical="center" wrapText="1"/>
    </xf>
    <xf numFmtId="4" fontId="23" fillId="4" borderId="14" xfId="0" applyNumberFormat="1" applyFont="1" applyFill="1" applyBorder="1" applyAlignment="1">
      <alignment horizontal="right" vertical="center"/>
    </xf>
    <xf numFmtId="4" fontId="22" fillId="6" borderId="39" xfId="3" applyNumberFormat="1" applyFont="1" applyFill="1" applyBorder="1" applyAlignment="1">
      <alignment horizontal="right" vertical="center"/>
    </xf>
    <xf numFmtId="4" fontId="1" fillId="4" borderId="10" xfId="0" applyNumberFormat="1" applyFont="1" applyFill="1" applyBorder="1" applyAlignment="1">
      <alignment horizontal="right" vertical="center"/>
    </xf>
    <xf numFmtId="4" fontId="22" fillId="4" borderId="39" xfId="3" applyNumberFormat="1" applyFont="1" applyFill="1" applyBorder="1" applyAlignment="1">
      <alignment horizontal="right" vertical="center" wrapText="1"/>
    </xf>
    <xf numFmtId="4" fontId="1" fillId="4" borderId="39" xfId="0" applyNumberFormat="1" applyFont="1" applyFill="1" applyBorder="1" applyAlignment="1">
      <alignment horizontal="right" vertical="center"/>
    </xf>
    <xf numFmtId="4" fontId="23" fillId="11" borderId="39" xfId="0" applyNumberFormat="1" applyFont="1" applyFill="1" applyBorder="1" applyAlignment="1">
      <alignment horizontal="right" vertical="center"/>
    </xf>
    <xf numFmtId="4" fontId="22" fillId="8" borderId="10" xfId="0" applyNumberFormat="1" applyFont="1" applyFill="1" applyBorder="1" applyAlignment="1">
      <alignment horizontal="right" vertical="center"/>
    </xf>
    <xf numFmtId="4" fontId="22" fillId="8" borderId="39" xfId="0" applyNumberFormat="1" applyFont="1" applyFill="1" applyBorder="1" applyAlignment="1">
      <alignment horizontal="right" vertical="center"/>
    </xf>
    <xf numFmtId="4" fontId="22" fillId="6" borderId="11" xfId="0" applyNumberFormat="1" applyFont="1" applyFill="1" applyBorder="1" applyAlignment="1">
      <alignment horizontal="right" vertical="center"/>
    </xf>
    <xf numFmtId="4" fontId="23" fillId="4" borderId="39" xfId="1" applyNumberFormat="1" applyFont="1" applyFill="1" applyBorder="1" applyAlignment="1">
      <alignment horizontal="right" vertical="center"/>
    </xf>
    <xf numFmtId="4" fontId="3" fillId="6" borderId="100" xfId="0" applyNumberFormat="1" applyFont="1" applyFill="1" applyBorder="1" applyAlignment="1">
      <alignment horizontal="right" vertical="center"/>
    </xf>
    <xf numFmtId="0" fontId="23" fillId="8" borderId="44" xfId="0" applyFont="1" applyFill="1" applyBorder="1" applyAlignment="1">
      <alignment vertical="center"/>
    </xf>
    <xf numFmtId="4" fontId="22" fillId="4" borderId="97" xfId="1" applyNumberFormat="1" applyFont="1" applyFill="1" applyBorder="1" applyAlignment="1">
      <alignment horizontal="right" vertical="center"/>
    </xf>
    <xf numFmtId="0" fontId="23" fillId="11" borderId="44" xfId="0" applyFont="1" applyFill="1" applyBorder="1" applyAlignment="1">
      <alignment vertical="center" wrapText="1"/>
    </xf>
    <xf numFmtId="0" fontId="23" fillId="11" borderId="44" xfId="0" applyFont="1" applyFill="1" applyBorder="1" applyAlignment="1">
      <alignment vertical="center"/>
    </xf>
    <xf numFmtId="0" fontId="23" fillId="8" borderId="44" xfId="3" applyFont="1" applyFill="1" applyBorder="1" applyAlignment="1">
      <alignment vertical="center"/>
    </xf>
    <xf numFmtId="0" fontId="23" fillId="11" borderId="44" xfId="3" applyFont="1" applyFill="1" applyBorder="1" applyAlignment="1">
      <alignment vertical="center"/>
    </xf>
    <xf numFmtId="0" fontId="23" fillId="8" borderId="44" xfId="3" applyFont="1" applyFill="1" applyBorder="1" applyAlignment="1">
      <alignment horizontal="center" vertical="center" wrapText="1"/>
    </xf>
    <xf numFmtId="4" fontId="22" fillId="8" borderId="44" xfId="3" applyNumberFormat="1" applyFont="1" applyFill="1" applyBorder="1" applyAlignment="1">
      <alignment horizontal="right" vertical="center" wrapText="1"/>
    </xf>
    <xf numFmtId="4" fontId="23" fillId="11" borderId="44" xfId="3" applyNumberFormat="1" applyFont="1" applyFill="1" applyBorder="1" applyAlignment="1">
      <alignment horizontal="right" vertical="center" wrapText="1"/>
    </xf>
    <xf numFmtId="167" fontId="23" fillId="8" borderId="44" xfId="0" applyNumberFormat="1" applyFont="1" applyFill="1" applyBorder="1" applyAlignment="1">
      <alignment horizontal="center" vertical="center"/>
    </xf>
    <xf numFmtId="0" fontId="23" fillId="17" borderId="97" xfId="0" applyFont="1" applyFill="1" applyBorder="1" applyAlignment="1">
      <alignment horizontal="center" vertical="center"/>
    </xf>
    <xf numFmtId="0" fontId="31" fillId="17" borderId="97" xfId="0" applyFont="1" applyFill="1" applyBorder="1" applyAlignment="1">
      <alignment horizontal="center" vertical="center"/>
    </xf>
    <xf numFmtId="0" fontId="24" fillId="17" borderId="97" xfId="0" applyFont="1" applyFill="1" applyBorder="1" applyAlignment="1">
      <alignment horizontal="center" vertical="top" wrapText="1"/>
    </xf>
    <xf numFmtId="4" fontId="22" fillId="17" borderId="10" xfId="0" applyNumberFormat="1" applyFont="1" applyFill="1" applyBorder="1" applyAlignment="1">
      <alignment horizontal="right" vertical="center"/>
    </xf>
    <xf numFmtId="4" fontId="3" fillId="17" borderId="97" xfId="0" applyNumberFormat="1" applyFont="1" applyFill="1" applyBorder="1" applyAlignment="1">
      <alignment horizontal="right" vertical="center"/>
    </xf>
    <xf numFmtId="0" fontId="23" fillId="17" borderId="39" xfId="3" applyFont="1" applyFill="1" applyBorder="1" applyAlignment="1">
      <alignment horizontal="center" vertical="center" wrapText="1"/>
    </xf>
    <xf numFmtId="0" fontId="31" fillId="17" borderId="40" xfId="3" applyFont="1" applyFill="1" applyBorder="1" applyAlignment="1">
      <alignment horizontal="center" vertical="center" wrapText="1"/>
    </xf>
    <xf numFmtId="0" fontId="24" fillId="17" borderId="40" xfId="0" applyFont="1" applyFill="1" applyBorder="1" applyAlignment="1">
      <alignment horizontal="center" vertical="center" wrapText="1"/>
    </xf>
    <xf numFmtId="2" fontId="23" fillId="17" borderId="40" xfId="0" applyNumberFormat="1" applyFont="1" applyFill="1" applyBorder="1" applyAlignment="1">
      <alignment horizontal="center" vertical="center"/>
    </xf>
    <xf numFmtId="166" fontId="31" fillId="17" borderId="40" xfId="0" applyNumberFormat="1" applyFont="1" applyFill="1" applyBorder="1" applyAlignment="1">
      <alignment horizontal="center" vertical="center"/>
    </xf>
    <xf numFmtId="166" fontId="23" fillId="17" borderId="8" xfId="0" applyNumberFormat="1" applyFont="1" applyFill="1" applyBorder="1" applyAlignment="1">
      <alignment horizontal="center" vertical="center"/>
    </xf>
    <xf numFmtId="4" fontId="3" fillId="17" borderId="40" xfId="0" applyNumberFormat="1" applyFont="1" applyFill="1" applyBorder="1" applyAlignment="1">
      <alignment horizontal="right" vertical="center"/>
    </xf>
    <xf numFmtId="4" fontId="3" fillId="17" borderId="41" xfId="0" applyNumberFormat="1" applyFont="1" applyFill="1" applyBorder="1" applyAlignment="1">
      <alignment horizontal="right" vertical="center"/>
    </xf>
    <xf numFmtId="0" fontId="23" fillId="17" borderId="44" xfId="0" applyFont="1" applyFill="1" applyBorder="1" applyAlignment="1">
      <alignment horizontal="center" vertical="center"/>
    </xf>
    <xf numFmtId="0" fontId="31" fillId="17" borderId="44" xfId="0" applyFont="1" applyFill="1" applyBorder="1" applyAlignment="1">
      <alignment horizontal="center" vertical="center"/>
    </xf>
    <xf numFmtId="0" fontId="24" fillId="17" borderId="100" xfId="0" applyFont="1" applyFill="1" applyBorder="1" applyAlignment="1">
      <alignment horizontal="center" vertical="center" wrapText="1"/>
    </xf>
    <xf numFmtId="4" fontId="22" fillId="17" borderId="11" xfId="0" applyNumberFormat="1" applyFont="1" applyFill="1" applyBorder="1" applyAlignment="1">
      <alignment horizontal="right" vertical="center"/>
    </xf>
    <xf numFmtId="0" fontId="23" fillId="17" borderId="97" xfId="0" applyFont="1" applyFill="1" applyBorder="1" applyAlignment="1" applyProtection="1">
      <alignment horizontal="center" vertical="center"/>
      <protection locked="0"/>
    </xf>
    <xf numFmtId="0" fontId="24" fillId="17" borderId="97" xfId="0" applyFont="1" applyFill="1" applyBorder="1" applyAlignment="1" applyProtection="1">
      <alignment horizontal="center" vertical="center" wrapText="1"/>
      <protection locked="0"/>
    </xf>
    <xf numFmtId="4" fontId="23" fillId="17" borderId="12" xfId="3" applyNumberFormat="1" applyFont="1" applyFill="1" applyBorder="1" applyAlignment="1">
      <alignment horizontal="center" vertical="center"/>
    </xf>
    <xf numFmtId="2" fontId="23" fillId="17" borderId="12" xfId="1" applyNumberFormat="1" applyFont="1" applyFill="1" applyBorder="1" applyAlignment="1">
      <alignment horizontal="center" vertical="center"/>
    </xf>
    <xf numFmtId="166" fontId="31" fillId="17" borderId="12" xfId="1" applyNumberFormat="1" applyFont="1" applyFill="1" applyBorder="1" applyAlignment="1">
      <alignment horizontal="center" vertical="center"/>
    </xf>
    <xf numFmtId="166" fontId="23" fillId="17" borderId="12" xfId="1" applyNumberFormat="1" applyFont="1" applyFill="1" applyBorder="1" applyAlignment="1">
      <alignment horizontal="center" vertical="center"/>
    </xf>
    <xf numFmtId="0" fontId="3" fillId="17" borderId="0" xfId="0" applyFont="1" applyFill="1" applyAlignment="1">
      <alignment vertical="top"/>
    </xf>
    <xf numFmtId="0" fontId="3" fillId="17" borderId="0" xfId="0" applyFont="1" applyFill="1" applyAlignment="1">
      <alignment vertical="top" wrapText="1"/>
    </xf>
    <xf numFmtId="0" fontId="24" fillId="17" borderId="97" xfId="0" applyFont="1" applyFill="1" applyBorder="1" applyAlignment="1">
      <alignment horizontal="center" vertical="center" wrapText="1"/>
    </xf>
    <xf numFmtId="0" fontId="22" fillId="17" borderId="97" xfId="0" applyFont="1" applyFill="1" applyBorder="1" applyAlignment="1">
      <alignment horizontal="center" vertical="center" wrapText="1"/>
    </xf>
    <xf numFmtId="167" fontId="3" fillId="17" borderId="0" xfId="0" applyNumberFormat="1" applyFont="1" applyFill="1" applyAlignment="1">
      <alignment horizontal="center" vertical="center"/>
    </xf>
    <xf numFmtId="0" fontId="31" fillId="17" borderId="40" xfId="0" applyFont="1" applyFill="1" applyBorder="1" applyAlignment="1">
      <alignment horizontal="center" vertical="center"/>
    </xf>
    <xf numFmtId="0" fontId="23" fillId="17" borderId="44" xfId="0" applyFont="1" applyFill="1" applyBorder="1" applyAlignment="1">
      <alignment horizontal="center"/>
    </xf>
    <xf numFmtId="49" fontId="24" fillId="17" borderId="44" xfId="3" applyNumberFormat="1" applyFont="1" applyFill="1" applyBorder="1" applyAlignment="1">
      <alignment horizontal="center" vertical="center" wrapText="1"/>
    </xf>
    <xf numFmtId="49" fontId="23" fillId="17" borderId="44" xfId="3" applyNumberFormat="1" applyFont="1" applyFill="1" applyBorder="1" applyAlignment="1">
      <alignment horizontal="center" vertical="center" wrapText="1"/>
    </xf>
    <xf numFmtId="0" fontId="31" fillId="17" borderId="44" xfId="3" applyFont="1" applyFill="1" applyBorder="1" applyAlignment="1">
      <alignment horizontal="center" vertical="center" wrapText="1"/>
    </xf>
    <xf numFmtId="0" fontId="24" fillId="17" borderId="41" xfId="0" applyFont="1" applyFill="1" applyBorder="1" applyAlignment="1">
      <alignment horizontal="center" vertical="top" wrapText="1"/>
    </xf>
    <xf numFmtId="4" fontId="3" fillId="17" borderId="100" xfId="0" applyNumberFormat="1" applyFont="1" applyFill="1" applyBorder="1" applyAlignment="1">
      <alignment horizontal="right" vertical="center"/>
    </xf>
    <xf numFmtId="0" fontId="5" fillId="17" borderId="0" xfId="0" applyFont="1" applyFill="1" applyAlignment="1"/>
    <xf numFmtId="49" fontId="23" fillId="17" borderId="44" xfId="3" applyNumberFormat="1" applyFont="1" applyFill="1" applyBorder="1" applyAlignment="1">
      <alignment horizontal="center" vertical="top" wrapText="1"/>
    </xf>
    <xf numFmtId="49" fontId="31" fillId="17" borderId="44" xfId="3" applyNumberFormat="1" applyFont="1" applyFill="1" applyBorder="1" applyAlignment="1">
      <alignment horizontal="center" vertical="center" wrapText="1"/>
    </xf>
    <xf numFmtId="0" fontId="5" fillId="17" borderId="0" xfId="0" applyFont="1" applyFill="1" applyAlignment="1">
      <alignment vertical="top"/>
    </xf>
    <xf numFmtId="49" fontId="24" fillId="17" borderId="40" xfId="3" applyNumberFormat="1" applyFont="1" applyFill="1" applyBorder="1" applyAlignment="1">
      <alignment horizontal="center" vertical="center" wrapText="1"/>
    </xf>
    <xf numFmtId="4" fontId="22" fillId="17" borderId="0" xfId="1" applyNumberFormat="1" applyFont="1" applyFill="1" applyBorder="1" applyAlignment="1">
      <alignment horizontal="right" vertical="center"/>
    </xf>
    <xf numFmtId="4" fontId="3" fillId="17" borderId="103" xfId="0" applyNumberFormat="1" applyFont="1" applyFill="1" applyBorder="1" applyAlignment="1">
      <alignment horizontal="right" vertical="center"/>
    </xf>
    <xf numFmtId="0" fontId="23" fillId="13" borderId="10" xfId="0" applyFont="1" applyFill="1" applyBorder="1" applyAlignment="1">
      <alignment horizontal="center" vertical="center"/>
    </xf>
    <xf numFmtId="0" fontId="23" fillId="13" borderId="10" xfId="3" applyFont="1" applyFill="1" applyBorder="1" applyAlignment="1">
      <alignment horizontal="center" vertical="center" wrapText="1"/>
    </xf>
    <xf numFmtId="2" fontId="23" fillId="13" borderId="12" xfId="3" applyNumberFormat="1" applyFont="1" applyFill="1" applyBorder="1" applyAlignment="1">
      <alignment horizontal="center" vertical="center" wrapText="1"/>
    </xf>
    <xf numFmtId="166" fontId="31" fillId="13" borderId="12" xfId="3" applyNumberFormat="1" applyFont="1" applyFill="1" applyBorder="1" applyAlignment="1">
      <alignment horizontal="center" vertical="center" wrapText="1"/>
    </xf>
    <xf numFmtId="4" fontId="3" fillId="13" borderId="100" xfId="0" applyNumberFormat="1" applyFont="1" applyFill="1" applyBorder="1" applyAlignment="1">
      <alignment horizontal="right" vertical="center"/>
    </xf>
    <xf numFmtId="0" fontId="23" fillId="13" borderId="11" xfId="3" applyFont="1" applyFill="1" applyBorder="1" applyAlignment="1">
      <alignment horizontal="center" vertical="center" wrapText="1"/>
    </xf>
    <xf numFmtId="0" fontId="31" fillId="13" borderId="8" xfId="3" applyFont="1" applyFill="1" applyBorder="1" applyAlignment="1">
      <alignment horizontal="center" vertical="center" wrapText="1"/>
    </xf>
    <xf numFmtId="0" fontId="24" fillId="13" borderId="8" xfId="0" applyFont="1" applyFill="1" applyBorder="1" applyAlignment="1">
      <alignment horizontal="center" vertical="center" wrapText="1"/>
    </xf>
    <xf numFmtId="2" fontId="23" fillId="13" borderId="40" xfId="0" applyNumberFormat="1" applyFont="1" applyFill="1" applyBorder="1" applyAlignment="1">
      <alignment horizontal="center" vertical="center"/>
    </xf>
    <xf numFmtId="166" fontId="31" fillId="13" borderId="40" xfId="0" applyNumberFormat="1" applyFont="1" applyFill="1" applyBorder="1" applyAlignment="1">
      <alignment horizontal="center" vertical="center"/>
    </xf>
    <xf numFmtId="166" fontId="23" fillId="13" borderId="8" xfId="0" applyNumberFormat="1" applyFont="1" applyFill="1" applyBorder="1" applyAlignment="1">
      <alignment horizontal="center" vertical="center"/>
    </xf>
    <xf numFmtId="4" fontId="3" fillId="13" borderId="40" xfId="0" applyNumberFormat="1" applyFont="1" applyFill="1" applyBorder="1" applyAlignment="1">
      <alignment horizontal="right" vertical="center"/>
    </xf>
    <xf numFmtId="0" fontId="24" fillId="13" borderId="12" xfId="0" applyFont="1" applyFill="1" applyBorder="1" applyAlignment="1">
      <alignment horizontal="center" vertical="center" wrapText="1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4" fillId="13" borderId="12" xfId="0" applyFont="1" applyFill="1" applyBorder="1" applyAlignment="1" applyProtection="1">
      <alignment horizontal="center" vertical="center" wrapText="1"/>
      <protection locked="0"/>
    </xf>
    <xf numFmtId="4" fontId="23" fillId="13" borderId="10" xfId="3" applyNumberFormat="1" applyFont="1" applyFill="1" applyBorder="1" applyAlignment="1">
      <alignment horizontal="center" vertical="center"/>
    </xf>
    <xf numFmtId="2" fontId="23" fillId="13" borderId="12" xfId="1" applyNumberFormat="1" applyFont="1" applyFill="1" applyBorder="1" applyAlignment="1">
      <alignment horizontal="center" vertical="center"/>
    </xf>
    <xf numFmtId="166" fontId="31" fillId="13" borderId="12" xfId="1" applyNumberFormat="1" applyFont="1" applyFill="1" applyBorder="1" applyAlignment="1">
      <alignment horizontal="center" vertical="center"/>
    </xf>
    <xf numFmtId="166" fontId="23" fillId="13" borderId="12" xfId="1" applyNumberFormat="1" applyFont="1" applyFill="1" applyBorder="1" applyAlignment="1">
      <alignment horizontal="center" vertical="center"/>
    </xf>
    <xf numFmtId="0" fontId="3" fillId="13" borderId="0" xfId="0" applyFont="1" applyFill="1" applyAlignment="1">
      <alignment vertical="top"/>
    </xf>
    <xf numFmtId="4" fontId="22" fillId="13" borderId="8" xfId="0" applyNumberFormat="1" applyFont="1" applyFill="1" applyBorder="1" applyAlignment="1">
      <alignment horizontal="right" vertical="center"/>
    </xf>
    <xf numFmtId="0" fontId="31" fillId="13" borderId="40" xfId="0" applyFont="1" applyFill="1" applyBorder="1" applyAlignment="1">
      <alignment horizontal="center" vertical="center"/>
    </xf>
    <xf numFmtId="0" fontId="22" fillId="13" borderId="40" xfId="0" applyFont="1" applyFill="1" applyBorder="1" applyAlignment="1">
      <alignment horizontal="center" vertical="center" wrapText="1"/>
    </xf>
    <xf numFmtId="49" fontId="23" fillId="13" borderId="44" xfId="3" applyNumberFormat="1" applyFont="1" applyFill="1" applyBorder="1" applyAlignment="1">
      <alignment horizontal="center" vertical="center" wrapText="1"/>
    </xf>
    <xf numFmtId="0" fontId="31" fillId="13" borderId="39" xfId="3" applyFont="1" applyFill="1" applyBorder="1" applyAlignment="1">
      <alignment horizontal="center" vertical="center" wrapText="1"/>
    </xf>
    <xf numFmtId="0" fontId="24" fillId="13" borderId="41" xfId="0" applyFont="1" applyFill="1" applyBorder="1" applyAlignment="1">
      <alignment horizontal="center" vertical="top" wrapText="1"/>
    </xf>
    <xf numFmtId="49" fontId="23" fillId="13" borderId="40" xfId="3" applyNumberFormat="1" applyFont="1" applyFill="1" applyBorder="1" applyAlignment="1">
      <alignment horizontal="center" vertical="center" wrapText="1"/>
    </xf>
    <xf numFmtId="4" fontId="22" fillId="13" borderId="10" xfId="0" applyNumberFormat="1" applyFont="1" applyFill="1" applyBorder="1" applyAlignment="1">
      <alignment horizontal="right" vertical="center"/>
    </xf>
    <xf numFmtId="0" fontId="24" fillId="13" borderId="40" xfId="0" applyFont="1" applyFill="1" applyBorder="1" applyAlignment="1">
      <alignment horizontal="center" vertical="center" wrapText="1"/>
    </xf>
    <xf numFmtId="49" fontId="23" fillId="13" borderId="39" xfId="3" applyNumberFormat="1" applyFont="1" applyFill="1" applyBorder="1" applyAlignment="1">
      <alignment horizontal="center" vertical="center" wrapText="1"/>
    </xf>
    <xf numFmtId="2" fontId="23" fillId="13" borderId="40" xfId="3" applyNumberFormat="1" applyFont="1" applyFill="1" applyBorder="1" applyAlignment="1">
      <alignment horizontal="center" vertical="center" wrapText="1"/>
    </xf>
    <xf numFmtId="166" fontId="31" fillId="13" borderId="40" xfId="3" applyNumberFormat="1" applyFont="1" applyFill="1" applyBorder="1" applyAlignment="1">
      <alignment horizontal="center" vertical="center" wrapText="1"/>
    </xf>
    <xf numFmtId="166" fontId="23" fillId="13" borderId="40" xfId="3" applyNumberFormat="1" applyFont="1" applyFill="1" applyBorder="1" applyAlignment="1">
      <alignment horizontal="center" vertical="center" wrapText="1"/>
    </xf>
    <xf numFmtId="4" fontId="22" fillId="13" borderId="39" xfId="3" applyNumberFormat="1" applyFont="1" applyFill="1" applyBorder="1" applyAlignment="1">
      <alignment horizontal="right" vertical="center" wrapText="1"/>
    </xf>
    <xf numFmtId="0" fontId="3" fillId="13" borderId="0" xfId="0" applyFont="1" applyFill="1" applyAlignment="1">
      <alignment vertical="top" wrapText="1"/>
    </xf>
    <xf numFmtId="0" fontId="31" fillId="13" borderId="44" xfId="3" applyFont="1" applyFill="1" applyBorder="1" applyAlignment="1">
      <alignment horizontal="center" vertical="center" wrapText="1"/>
    </xf>
    <xf numFmtId="49" fontId="23" fillId="13" borderId="39" xfId="3" applyNumberFormat="1" applyFont="1" applyFill="1" applyBorder="1" applyAlignment="1">
      <alignment horizontal="center" vertical="top" wrapText="1"/>
    </xf>
    <xf numFmtId="49" fontId="31" fillId="13" borderId="40" xfId="3" applyNumberFormat="1" applyFont="1" applyFill="1" applyBorder="1" applyAlignment="1">
      <alignment horizontal="center" vertical="center" wrapText="1"/>
    </xf>
    <xf numFmtId="49" fontId="24" fillId="13" borderId="41" xfId="3" applyNumberFormat="1" applyFont="1" applyFill="1" applyBorder="1" applyAlignment="1">
      <alignment horizontal="center" vertical="center" wrapText="1"/>
    </xf>
    <xf numFmtId="4" fontId="22" fillId="13" borderId="11" xfId="0" applyNumberFormat="1" applyFont="1" applyFill="1" applyBorder="1" applyAlignment="1">
      <alignment horizontal="right" vertical="center"/>
    </xf>
    <xf numFmtId="0" fontId="23" fillId="13" borderId="0" xfId="3" applyFont="1" applyFill="1" applyBorder="1" applyAlignment="1">
      <alignment horizontal="center" vertical="center"/>
    </xf>
    <xf numFmtId="2" fontId="23" fillId="13" borderId="0" xfId="1" applyNumberFormat="1" applyFont="1" applyFill="1" applyBorder="1" applyAlignment="1">
      <alignment horizontal="center" vertical="center"/>
    </xf>
    <xf numFmtId="166" fontId="22" fillId="13" borderId="0" xfId="3" applyNumberFormat="1" applyFont="1" applyFill="1" applyBorder="1" applyAlignment="1">
      <alignment horizontal="right" vertical="center"/>
    </xf>
    <xf numFmtId="4" fontId="22" fillId="13" borderId="44" xfId="1" applyNumberFormat="1" applyFont="1" applyFill="1" applyBorder="1" applyAlignment="1">
      <alignment horizontal="right" vertical="center"/>
    </xf>
    <xf numFmtId="4" fontId="3" fillId="13" borderId="97" xfId="0" applyNumberFormat="1" applyFont="1" applyFill="1" applyBorder="1" applyAlignment="1">
      <alignment horizontal="right" vertical="center"/>
    </xf>
    <xf numFmtId="4" fontId="3" fillId="13" borderId="45" xfId="0" applyNumberFormat="1" applyFont="1" applyFill="1" applyBorder="1" applyAlignment="1">
      <alignment horizontal="right" vertical="center"/>
    </xf>
    <xf numFmtId="4" fontId="3" fillId="13" borderId="94" xfId="0" applyNumberFormat="1" applyFont="1" applyFill="1" applyBorder="1" applyAlignment="1">
      <alignment horizontal="right" vertical="center"/>
    </xf>
    <xf numFmtId="0" fontId="23" fillId="6" borderId="97" xfId="0" applyFont="1" applyFill="1" applyBorder="1" applyAlignment="1">
      <alignment horizontal="center"/>
    </xf>
    <xf numFmtId="0" fontId="23" fillId="6" borderId="39" xfId="3" applyFont="1" applyFill="1" applyBorder="1" applyAlignment="1">
      <alignment horizontal="center" vertical="center" wrapText="1"/>
    </xf>
    <xf numFmtId="0" fontId="24" fillId="6" borderId="100" xfId="0" applyFont="1" applyFill="1" applyBorder="1" applyAlignment="1">
      <alignment horizontal="center" vertical="center" wrapText="1"/>
    </xf>
    <xf numFmtId="0" fontId="23" fillId="18" borderId="39" xfId="0" applyFont="1" applyFill="1" applyBorder="1" applyAlignment="1">
      <alignment horizontal="center" vertical="center"/>
    </xf>
    <xf numFmtId="0" fontId="26" fillId="18" borderId="40" xfId="0" applyFont="1" applyFill="1" applyBorder="1" applyAlignment="1">
      <alignment horizontal="center" vertical="center" wrapText="1"/>
    </xf>
    <xf numFmtId="4" fontId="22" fillId="18" borderId="40" xfId="0" applyNumberFormat="1" applyFont="1" applyFill="1" applyBorder="1" applyAlignment="1">
      <alignment horizontal="right" vertical="center"/>
    </xf>
    <xf numFmtId="4" fontId="3" fillId="18" borderId="44" xfId="0" applyNumberFormat="1" applyFont="1" applyFill="1" applyBorder="1" applyAlignment="1">
      <alignment horizontal="right" vertical="center"/>
    </xf>
    <xf numFmtId="4" fontId="3" fillId="18" borderId="86" xfId="0" applyNumberFormat="1" applyFont="1" applyFill="1" applyBorder="1" applyAlignment="1">
      <alignment horizontal="right" vertical="center"/>
    </xf>
    <xf numFmtId="167" fontId="1" fillId="18" borderId="0" xfId="0" applyNumberFormat="1" applyFont="1" applyFill="1" applyAlignment="1">
      <alignment horizontal="center" vertical="center"/>
    </xf>
    <xf numFmtId="0" fontId="1" fillId="18" borderId="0" xfId="0" applyFont="1" applyFill="1" applyAlignment="1">
      <alignment horizontal="center" vertical="center"/>
    </xf>
    <xf numFmtId="0" fontId="26" fillId="18" borderId="41" xfId="0" applyFont="1" applyFill="1" applyBorder="1" applyAlignment="1">
      <alignment horizontal="center" vertical="center" wrapText="1"/>
    </xf>
    <xf numFmtId="0" fontId="24" fillId="18" borderId="97" xfId="0" applyFont="1" applyFill="1" applyBorder="1" applyAlignment="1">
      <alignment horizontal="center" wrapText="1"/>
    </xf>
    <xf numFmtId="0" fontId="30" fillId="18" borderId="39" xfId="0" applyFont="1" applyFill="1" applyBorder="1" applyAlignment="1">
      <alignment horizontal="center" vertical="center" wrapText="1"/>
    </xf>
    <xf numFmtId="0" fontId="30" fillId="18" borderId="40" xfId="0" applyFont="1" applyFill="1" applyBorder="1" applyAlignment="1">
      <alignment horizontal="center" vertical="center" wrapText="1"/>
    </xf>
    <xf numFmtId="0" fontId="30" fillId="18" borderId="41" xfId="0" applyFont="1" applyFill="1" applyBorder="1" applyAlignment="1">
      <alignment horizontal="center" vertical="center" wrapText="1"/>
    </xf>
    <xf numFmtId="4" fontId="22" fillId="18" borderId="39" xfId="0" applyNumberFormat="1" applyFont="1" applyFill="1" applyBorder="1" applyAlignment="1">
      <alignment horizontal="right" vertical="center"/>
    </xf>
    <xf numFmtId="0" fontId="24" fillId="18" borderId="44" xfId="0" applyFont="1" applyFill="1" applyBorder="1" applyAlignment="1">
      <alignment horizontal="center" wrapText="1"/>
    </xf>
    <xf numFmtId="0" fontId="24" fillId="13" borderId="44" xfId="0" applyFont="1" applyFill="1" applyBorder="1" applyAlignment="1">
      <alignment horizontal="center" vertical="top" wrapText="1"/>
    </xf>
    <xf numFmtId="0" fontId="23" fillId="18" borderId="10" xfId="0" applyFont="1" applyFill="1" applyBorder="1" applyAlignment="1">
      <alignment horizontal="center" vertical="center"/>
    </xf>
    <xf numFmtId="0" fontId="24" fillId="18" borderId="44" xfId="0" applyFont="1" applyFill="1" applyBorder="1" applyAlignment="1">
      <alignment horizontal="center" vertical="top" wrapText="1"/>
    </xf>
    <xf numFmtId="0" fontId="23" fillId="18" borderId="10" xfId="3" applyFont="1" applyFill="1" applyBorder="1" applyAlignment="1">
      <alignment horizontal="center" vertical="center" wrapText="1"/>
    </xf>
    <xf numFmtId="2" fontId="23" fillId="18" borderId="12" xfId="3" applyNumberFormat="1" applyFont="1" applyFill="1" applyBorder="1" applyAlignment="1">
      <alignment horizontal="center" vertical="center" wrapText="1"/>
    </xf>
    <xf numFmtId="166" fontId="31" fillId="18" borderId="12" xfId="3" applyNumberFormat="1" applyFont="1" applyFill="1" applyBorder="1" applyAlignment="1">
      <alignment horizontal="center" vertical="center" wrapText="1"/>
    </xf>
    <xf numFmtId="166" fontId="23" fillId="18" borderId="12" xfId="0" applyNumberFormat="1" applyFont="1" applyFill="1" applyBorder="1" applyAlignment="1">
      <alignment horizontal="center" vertical="center"/>
    </xf>
    <xf numFmtId="4" fontId="22" fillId="18" borderId="10" xfId="0" applyNumberFormat="1" applyFont="1" applyFill="1" applyBorder="1" applyAlignment="1">
      <alignment horizontal="right" vertical="center"/>
    </xf>
    <xf numFmtId="4" fontId="3" fillId="18" borderId="100" xfId="0" applyNumberFormat="1" applyFont="1" applyFill="1" applyBorder="1" applyAlignment="1">
      <alignment horizontal="right" vertical="center"/>
    </xf>
    <xf numFmtId="0" fontId="31" fillId="18" borderId="44" xfId="0" applyFont="1" applyFill="1" applyBorder="1" applyAlignment="1">
      <alignment horizontal="center" vertical="center"/>
    </xf>
    <xf numFmtId="0" fontId="23" fillId="18" borderId="11" xfId="3" applyFont="1" applyFill="1" applyBorder="1" applyAlignment="1">
      <alignment horizontal="center" vertical="center" wrapText="1"/>
    </xf>
    <xf numFmtId="0" fontId="31" fillId="18" borderId="8" xfId="3" applyFont="1" applyFill="1" applyBorder="1" applyAlignment="1">
      <alignment horizontal="center" vertical="center" wrapText="1"/>
    </xf>
    <xf numFmtId="0" fontId="24" fillId="18" borderId="8" xfId="0" applyFont="1" applyFill="1" applyBorder="1" applyAlignment="1">
      <alignment horizontal="center" vertical="center" wrapText="1"/>
    </xf>
    <xf numFmtId="2" fontId="23" fillId="18" borderId="40" xfId="0" applyNumberFormat="1" applyFont="1" applyFill="1" applyBorder="1" applyAlignment="1">
      <alignment horizontal="center" vertical="center"/>
    </xf>
    <xf numFmtId="166" fontId="31" fillId="18" borderId="40" xfId="0" applyNumberFormat="1" applyFont="1" applyFill="1" applyBorder="1" applyAlignment="1">
      <alignment horizontal="center" vertical="center"/>
    </xf>
    <xf numFmtId="166" fontId="23" fillId="18" borderId="8" xfId="0" applyNumberFormat="1" applyFont="1" applyFill="1" applyBorder="1" applyAlignment="1">
      <alignment horizontal="center" vertical="center"/>
    </xf>
    <xf numFmtId="4" fontId="22" fillId="18" borderId="44" xfId="0" applyNumberFormat="1" applyFont="1" applyFill="1" applyBorder="1" applyAlignment="1">
      <alignment horizontal="right" vertical="center"/>
    </xf>
    <xf numFmtId="4" fontId="3" fillId="18" borderId="41" xfId="0" applyNumberFormat="1" applyFont="1" applyFill="1" applyBorder="1" applyAlignment="1">
      <alignment horizontal="right" vertical="center"/>
    </xf>
    <xf numFmtId="0" fontId="23" fillId="18" borderId="10" xfId="0" applyFont="1" applyFill="1" applyBorder="1" applyAlignment="1" applyProtection="1">
      <alignment horizontal="center" vertical="center"/>
      <protection locked="0"/>
    </xf>
    <xf numFmtId="0" fontId="31" fillId="18" borderId="97" xfId="0" applyFont="1" applyFill="1" applyBorder="1" applyAlignment="1">
      <alignment horizontal="center" vertical="center"/>
    </xf>
    <xf numFmtId="0" fontId="24" fillId="18" borderId="44" xfId="0" applyFont="1" applyFill="1" applyBorder="1" applyAlignment="1" applyProtection="1">
      <alignment horizontal="center" vertical="center" wrapText="1"/>
      <protection locked="0"/>
    </xf>
    <xf numFmtId="4" fontId="23" fillId="18" borderId="12" xfId="3" applyNumberFormat="1" applyFont="1" applyFill="1" applyBorder="1" applyAlignment="1">
      <alignment horizontal="center" vertical="center"/>
    </xf>
    <xf numFmtId="2" fontId="23" fillId="18" borderId="12" xfId="1" applyNumberFormat="1" applyFont="1" applyFill="1" applyBorder="1" applyAlignment="1">
      <alignment horizontal="center" vertical="center"/>
    </xf>
    <xf numFmtId="166" fontId="31" fillId="18" borderId="12" xfId="1" applyNumberFormat="1" applyFont="1" applyFill="1" applyBorder="1" applyAlignment="1">
      <alignment horizontal="center" vertical="center"/>
    </xf>
    <xf numFmtId="166" fontId="23" fillId="18" borderId="12" xfId="1" applyNumberFormat="1" applyFont="1" applyFill="1" applyBorder="1" applyAlignment="1">
      <alignment horizontal="center" vertical="center"/>
    </xf>
    <xf numFmtId="0" fontId="3" fillId="18" borderId="0" xfId="0" applyFont="1" applyFill="1" applyAlignment="1">
      <alignment vertical="top"/>
    </xf>
    <xf numFmtId="0" fontId="24" fillId="13" borderId="44" xfId="0" applyFont="1" applyFill="1" applyBorder="1" applyAlignment="1">
      <alignment horizontal="center" vertical="center" wrapText="1"/>
    </xf>
    <xf numFmtId="0" fontId="23" fillId="18" borderId="44" xfId="0" applyFont="1" applyFill="1" applyBorder="1" applyAlignment="1">
      <alignment horizontal="center" vertical="center"/>
    </xf>
    <xf numFmtId="0" fontId="24" fillId="18" borderId="44" xfId="0" applyFont="1" applyFill="1" applyBorder="1" applyAlignment="1">
      <alignment horizontal="center" vertical="center" wrapText="1"/>
    </xf>
    <xf numFmtId="0" fontId="23" fillId="18" borderId="39" xfId="3" applyFont="1" applyFill="1" applyBorder="1" applyAlignment="1">
      <alignment horizontal="center" vertical="center"/>
    </xf>
    <xf numFmtId="0" fontId="23" fillId="18" borderId="40" xfId="3" applyFont="1" applyFill="1" applyBorder="1" applyAlignment="1">
      <alignment horizontal="center" vertical="center"/>
    </xf>
    <xf numFmtId="4" fontId="3" fillId="18" borderId="9" xfId="0" applyNumberFormat="1" applyFont="1" applyFill="1" applyBorder="1" applyAlignment="1">
      <alignment horizontal="right" vertical="center"/>
    </xf>
    <xf numFmtId="49" fontId="23" fillId="18" borderId="44" xfId="3" applyNumberFormat="1" applyFont="1" applyFill="1" applyBorder="1" applyAlignment="1">
      <alignment horizontal="center" vertical="center" wrapText="1"/>
    </xf>
    <xf numFmtId="0" fontId="31" fillId="18" borderId="44" xfId="3" applyFont="1" applyFill="1" applyBorder="1" applyAlignment="1">
      <alignment horizontal="center" vertical="center" wrapText="1"/>
    </xf>
    <xf numFmtId="0" fontId="24" fillId="18" borderId="41" xfId="0" applyFont="1" applyFill="1" applyBorder="1" applyAlignment="1">
      <alignment horizontal="center" vertical="top" wrapText="1"/>
    </xf>
    <xf numFmtId="49" fontId="23" fillId="18" borderId="39" xfId="3" applyNumberFormat="1" applyFont="1" applyFill="1" applyBorder="1" applyAlignment="1">
      <alignment horizontal="center" vertical="center" wrapText="1"/>
    </xf>
    <xf numFmtId="49" fontId="23" fillId="18" borderId="40" xfId="3" applyNumberFormat="1" applyFont="1" applyFill="1" applyBorder="1" applyAlignment="1">
      <alignment horizontal="center" vertical="center" wrapText="1"/>
    </xf>
    <xf numFmtId="49" fontId="23" fillId="18" borderId="41" xfId="3" applyNumberFormat="1" applyFont="1" applyFill="1" applyBorder="1" applyAlignment="1">
      <alignment horizontal="center" vertical="center" wrapText="1"/>
    </xf>
    <xf numFmtId="0" fontId="5" fillId="18" borderId="0" xfId="0" applyFont="1" applyFill="1" applyAlignment="1"/>
    <xf numFmtId="49" fontId="23" fillId="18" borderId="39" xfId="3" applyNumberFormat="1" applyFont="1" applyFill="1" applyBorder="1" applyAlignment="1">
      <alignment horizontal="center" vertical="top" wrapText="1"/>
    </xf>
    <xf numFmtId="49" fontId="24" fillId="18" borderId="41" xfId="3" applyNumberFormat="1" applyFont="1" applyFill="1" applyBorder="1" applyAlignment="1">
      <alignment horizontal="center" vertical="center" wrapText="1"/>
    </xf>
    <xf numFmtId="0" fontId="23" fillId="18" borderId="40" xfId="0" applyFont="1" applyFill="1" applyBorder="1" applyAlignment="1">
      <alignment horizontal="center" vertical="center"/>
    </xf>
    <xf numFmtId="0" fontId="23" fillId="18" borderId="41" xfId="0" applyFont="1" applyFill="1" applyBorder="1" applyAlignment="1">
      <alignment horizontal="center" vertical="center"/>
    </xf>
    <xf numFmtId="0" fontId="5" fillId="18" borderId="0" xfId="0" applyFont="1" applyFill="1" applyAlignment="1">
      <alignment vertical="top"/>
    </xf>
    <xf numFmtId="49" fontId="31" fillId="18" borderId="44" xfId="3" applyNumberFormat="1" applyFont="1" applyFill="1" applyBorder="1" applyAlignment="1">
      <alignment horizontal="center" vertical="center" wrapText="1"/>
    </xf>
    <xf numFmtId="49" fontId="24" fillId="13" borderId="40" xfId="3" applyNumberFormat="1" applyFont="1" applyFill="1" applyBorder="1" applyAlignment="1">
      <alignment horizontal="center" vertical="center" wrapText="1"/>
    </xf>
    <xf numFmtId="0" fontId="24" fillId="4" borderId="44" xfId="0" applyFont="1" applyFill="1" applyBorder="1" applyAlignment="1">
      <alignment horizontal="center" vertical="top" wrapText="1"/>
    </xf>
    <xf numFmtId="4" fontId="22" fillId="4" borderId="39" xfId="1" applyNumberFormat="1" applyFont="1" applyFill="1" applyBorder="1" applyAlignment="1">
      <alignment horizontal="right" vertical="center"/>
    </xf>
    <xf numFmtId="0" fontId="23" fillId="17" borderId="0" xfId="3" applyFont="1" applyFill="1" applyBorder="1" applyAlignment="1">
      <alignment horizontal="center" vertical="center"/>
    </xf>
    <xf numFmtId="2" fontId="23" fillId="17" borderId="0" xfId="1" applyNumberFormat="1" applyFont="1" applyFill="1" applyBorder="1" applyAlignment="1">
      <alignment horizontal="center" vertical="center"/>
    </xf>
    <xf numFmtId="166" fontId="22" fillId="17" borderId="0" xfId="3" applyNumberFormat="1" applyFont="1" applyFill="1" applyBorder="1" applyAlignment="1">
      <alignment horizontal="right" vertical="center"/>
    </xf>
    <xf numFmtId="4" fontId="22" fillId="17" borderId="44" xfId="1" applyNumberFormat="1" applyFont="1" applyFill="1" applyBorder="1" applyAlignment="1">
      <alignment horizontal="right" vertical="center"/>
    </xf>
    <xf numFmtId="4" fontId="3" fillId="17" borderId="45" xfId="0" applyNumberFormat="1" applyFont="1" applyFill="1" applyBorder="1" applyAlignment="1">
      <alignment horizontal="right" vertical="center"/>
    </xf>
    <xf numFmtId="4" fontId="23" fillId="4" borderId="97" xfId="1" applyNumberFormat="1" applyFont="1" applyFill="1" applyBorder="1" applyAlignment="1">
      <alignment horizontal="right" vertical="center"/>
    </xf>
    <xf numFmtId="166" fontId="22" fillId="4" borderId="44" xfId="3" applyNumberFormat="1" applyFont="1" applyFill="1" applyBorder="1" applyAlignment="1">
      <alignment horizontal="right" vertical="center"/>
    </xf>
    <xf numFmtId="0" fontId="23" fillId="13" borderId="44" xfId="3" applyFont="1" applyFill="1" applyBorder="1" applyAlignment="1">
      <alignment horizontal="center" vertical="center"/>
    </xf>
    <xf numFmtId="2" fontId="23" fillId="13" borderId="44" xfId="1" applyNumberFormat="1" applyFont="1" applyFill="1" applyBorder="1" applyAlignment="1">
      <alignment horizontal="center" vertical="center"/>
    </xf>
    <xf numFmtId="166" fontId="22" fillId="13" borderId="44" xfId="3" applyNumberFormat="1" applyFont="1" applyFill="1" applyBorder="1" applyAlignment="1">
      <alignment horizontal="right" vertical="center"/>
    </xf>
    <xf numFmtId="4" fontId="22" fillId="13" borderId="97" xfId="1" applyNumberFormat="1" applyFont="1" applyFill="1" applyBorder="1" applyAlignment="1">
      <alignment horizontal="right" vertical="center"/>
    </xf>
    <xf numFmtId="49" fontId="22" fillId="8" borderId="14" xfId="3" applyNumberFormat="1" applyFont="1" applyFill="1" applyBorder="1" applyAlignment="1">
      <alignment horizontal="center" vertical="top" wrapText="1"/>
    </xf>
    <xf numFmtId="49" fontId="22" fillId="8" borderId="44" xfId="3" applyNumberFormat="1" applyFont="1" applyFill="1" applyBorder="1" applyAlignment="1">
      <alignment horizontal="center" vertical="top" wrapText="1"/>
    </xf>
    <xf numFmtId="0" fontId="22" fillId="4" borderId="44" xfId="3" applyFont="1" applyFill="1" applyBorder="1" applyAlignment="1">
      <alignment vertical="center" wrapText="1"/>
    </xf>
    <xf numFmtId="0" fontId="3" fillId="4" borderId="44" xfId="9" applyFont="1" applyFill="1" applyBorder="1"/>
    <xf numFmtId="0" fontId="3" fillId="4" borderId="78" xfId="9" applyFont="1" applyFill="1" applyBorder="1" applyAlignment="1">
      <alignment horizontal="center"/>
    </xf>
    <xf numFmtId="10" fontId="3" fillId="4" borderId="44" xfId="7" applyNumberFormat="1" applyFont="1" applyFill="1" applyBorder="1" applyAlignment="1">
      <alignment horizontal="center"/>
    </xf>
    <xf numFmtId="0" fontId="1" fillId="4" borderId="0" xfId="0" applyFont="1" applyFill="1" applyAlignment="1">
      <alignment vertical="top"/>
    </xf>
    <xf numFmtId="10" fontId="3" fillId="4" borderId="44" xfId="9" applyNumberFormat="1" applyFont="1" applyFill="1" applyBorder="1"/>
    <xf numFmtId="0" fontId="3" fillId="4" borderId="44" xfId="9" applyFont="1" applyFill="1" applyBorder="1" applyAlignment="1">
      <alignment vertical="center"/>
    </xf>
    <xf numFmtId="0" fontId="9" fillId="11" borderId="0" xfId="0" applyFont="1" applyFill="1" applyBorder="1" applyAlignment="1">
      <alignment horizontal="center" vertical="top"/>
    </xf>
    <xf numFmtId="0" fontId="9" fillId="11" borderId="77" xfId="0" applyFont="1" applyFill="1" applyBorder="1" applyAlignment="1">
      <alignment horizontal="center" vertical="top"/>
    </xf>
    <xf numFmtId="0" fontId="9" fillId="11" borderId="12" xfId="0" applyFont="1" applyFill="1" applyBorder="1" applyAlignment="1">
      <alignment horizontal="center" vertical="top"/>
    </xf>
    <xf numFmtId="49" fontId="10" fillId="11" borderId="98" xfId="0" applyNumberFormat="1" applyFont="1" applyFill="1" applyBorder="1" applyAlignment="1">
      <alignment vertical="top"/>
    </xf>
    <xf numFmtId="49" fontId="9" fillId="11" borderId="12" xfId="0" applyNumberFormat="1" applyFont="1" applyFill="1" applyBorder="1" applyAlignment="1">
      <alignment horizontal="center" vertical="top"/>
    </xf>
    <xf numFmtId="0" fontId="5" fillId="11" borderId="12" xfId="0" applyNumberFormat="1" applyFont="1" applyFill="1" applyBorder="1" applyAlignment="1">
      <alignment vertical="top" wrapText="1"/>
    </xf>
    <xf numFmtId="0" fontId="4" fillId="11" borderId="12" xfId="0" applyFont="1" applyFill="1" applyBorder="1" applyAlignment="1">
      <alignment vertical="top"/>
    </xf>
    <xf numFmtId="0" fontId="9" fillId="11" borderId="12" xfId="0" applyFont="1" applyFill="1" applyBorder="1" applyAlignment="1">
      <alignment horizontal="right" vertical="top"/>
    </xf>
    <xf numFmtId="0" fontId="9" fillId="11" borderId="12" xfId="0" applyFont="1" applyFill="1" applyBorder="1" applyAlignment="1">
      <alignment vertical="top"/>
    </xf>
    <xf numFmtId="0" fontId="3" fillId="0" borderId="6" xfId="0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167" fontId="3" fillId="0" borderId="44" xfId="9" applyNumberFormat="1" applyFont="1" applyFill="1" applyBorder="1"/>
    <xf numFmtId="167" fontId="3" fillId="4" borderId="44" xfId="11" applyNumberFormat="1" applyFont="1" applyFill="1" applyBorder="1" applyAlignment="1">
      <alignment horizontal="left"/>
    </xf>
    <xf numFmtId="167" fontId="3" fillId="0" borderId="44" xfId="9" applyNumberFormat="1" applyFont="1" applyFill="1" applyBorder="1" applyAlignment="1">
      <alignment horizontal="left"/>
    </xf>
    <xf numFmtId="167" fontId="3" fillId="11" borderId="44" xfId="11" applyNumberFormat="1" applyFont="1" applyFill="1" applyBorder="1" applyAlignment="1">
      <alignment horizontal="left"/>
    </xf>
    <xf numFmtId="167" fontId="3" fillId="11" borderId="44" xfId="11" applyNumberFormat="1" applyFont="1" applyFill="1" applyBorder="1"/>
    <xf numFmtId="167" fontId="3" fillId="11" borderId="89" xfId="9" applyNumberFormat="1" applyFont="1" applyFill="1" applyBorder="1"/>
    <xf numFmtId="167" fontId="3" fillId="0" borderId="44" xfId="11" applyNumberFormat="1" applyFont="1" applyFill="1" applyBorder="1"/>
    <xf numFmtId="167" fontId="3" fillId="11" borderId="44" xfId="9" applyNumberFormat="1" applyFont="1" applyFill="1" applyBorder="1"/>
    <xf numFmtId="167" fontId="3" fillId="4" borderId="44" xfId="9" applyNumberFormat="1" applyFont="1" applyFill="1" applyBorder="1"/>
    <xf numFmtId="167" fontId="3" fillId="11" borderId="44" xfId="2" applyNumberFormat="1" applyFont="1" applyFill="1" applyBorder="1" applyAlignment="1">
      <alignment horizontal="left"/>
    </xf>
    <xf numFmtId="167" fontId="22" fillId="4" borderId="40" xfId="2" applyNumberFormat="1" applyFont="1" applyFill="1" applyBorder="1" applyAlignment="1">
      <alignment horizontal="left" vertical="center" wrapText="1"/>
    </xf>
    <xf numFmtId="167" fontId="3" fillId="4" borderId="44" xfId="2" applyNumberFormat="1" applyFont="1" applyFill="1" applyBorder="1" applyAlignment="1">
      <alignment horizontal="left"/>
    </xf>
    <xf numFmtId="167" fontId="3" fillId="0" borderId="44" xfId="2" applyNumberFormat="1" applyFont="1" applyBorder="1" applyAlignment="1">
      <alignment horizontal="left"/>
    </xf>
    <xf numFmtId="167" fontId="3" fillId="11" borderId="88" xfId="2" applyNumberFormat="1" applyFont="1" applyFill="1" applyBorder="1" applyAlignment="1">
      <alignment horizontal="left"/>
    </xf>
    <xf numFmtId="167" fontId="3" fillId="0" borderId="39" xfId="9" applyNumberFormat="1" applyFont="1" applyFill="1" applyBorder="1"/>
    <xf numFmtId="167" fontId="3" fillId="4" borderId="44" xfId="11" applyNumberFormat="1" applyFont="1" applyFill="1" applyBorder="1"/>
    <xf numFmtId="167" fontId="33" fillId="0" borderId="39" xfId="11" applyNumberFormat="1" applyFont="1" applyFill="1" applyBorder="1"/>
    <xf numFmtId="167" fontId="3" fillId="0" borderId="44" xfId="11" applyNumberFormat="1" applyFont="1" applyFill="1" applyBorder="1" applyAlignment="1">
      <alignment horizontal="left"/>
    </xf>
    <xf numFmtId="167" fontId="3" fillId="11" borderId="44" xfId="9" applyNumberFormat="1" applyFont="1" applyFill="1" applyBorder="1" applyAlignment="1">
      <alignment horizontal="left"/>
    </xf>
    <xf numFmtId="167" fontId="3" fillId="4" borderId="44" xfId="9" applyNumberFormat="1" applyFont="1" applyFill="1" applyBorder="1" applyAlignment="1">
      <alignment horizontal="left"/>
    </xf>
    <xf numFmtId="167" fontId="3" fillId="0" borderId="39" xfId="9" applyNumberFormat="1" applyFont="1" applyFill="1" applyBorder="1" applyAlignment="1">
      <alignment horizontal="left"/>
    </xf>
    <xf numFmtId="167" fontId="22" fillId="11" borderId="44" xfId="0" applyNumberFormat="1" applyFont="1" applyFill="1" applyBorder="1" applyAlignment="1">
      <alignment horizontal="left" vertical="center"/>
    </xf>
    <xf numFmtId="167" fontId="3" fillId="0" borderId="40" xfId="9" applyNumberFormat="1" applyFont="1" applyFill="1" applyBorder="1" applyAlignment="1">
      <alignment horizontal="left"/>
    </xf>
    <xf numFmtId="167" fontId="22" fillId="4" borderId="44" xfId="0" applyNumberFormat="1" applyFont="1" applyFill="1" applyBorder="1" applyAlignment="1">
      <alignment horizontal="left" vertical="center"/>
    </xf>
    <xf numFmtId="167" fontId="3" fillId="11" borderId="39" xfId="9" applyNumberFormat="1" applyFont="1" applyFill="1" applyBorder="1" applyAlignment="1">
      <alignment horizontal="left"/>
    </xf>
    <xf numFmtId="167" fontId="3" fillId="4" borderId="39" xfId="9" applyNumberFormat="1" applyFont="1" applyFill="1" applyBorder="1" applyAlignment="1">
      <alignment horizontal="left"/>
    </xf>
    <xf numFmtId="167" fontId="3" fillId="11" borderId="39" xfId="11" applyNumberFormat="1" applyFont="1" applyFill="1" applyBorder="1" applyAlignment="1">
      <alignment horizontal="left"/>
    </xf>
    <xf numFmtId="167" fontId="3" fillId="0" borderId="39" xfId="11" applyNumberFormat="1" applyFont="1" applyFill="1" applyBorder="1" applyAlignment="1">
      <alignment horizontal="left"/>
    </xf>
    <xf numFmtId="167" fontId="3" fillId="4" borderId="39" xfId="11" applyNumberFormat="1" applyFont="1" applyFill="1" applyBorder="1" applyAlignment="1">
      <alignment horizontal="left"/>
    </xf>
    <xf numFmtId="167" fontId="33" fillId="0" borderId="39" xfId="11" applyNumberFormat="1" applyFont="1" applyFill="1" applyBorder="1" applyAlignment="1">
      <alignment horizontal="left"/>
    </xf>
    <xf numFmtId="167" fontId="33" fillId="4" borderId="39" xfId="11" applyNumberFormat="1" applyFont="1" applyFill="1" applyBorder="1" applyAlignment="1">
      <alignment horizontal="left"/>
    </xf>
    <xf numFmtId="0" fontId="3" fillId="11" borderId="78" xfId="9" applyFont="1" applyFill="1" applyBorder="1" applyAlignment="1">
      <alignment horizontal="center"/>
    </xf>
    <xf numFmtId="10" fontId="3" fillId="11" borderId="44" xfId="7" applyNumberFormat="1" applyFont="1" applyFill="1" applyBorder="1" applyAlignment="1">
      <alignment horizontal="center"/>
    </xf>
    <xf numFmtId="167" fontId="3" fillId="11" borderId="40" xfId="9" applyNumberFormat="1" applyFont="1" applyFill="1" applyBorder="1" applyAlignment="1">
      <alignment horizontal="left"/>
    </xf>
    <xf numFmtId="0" fontId="3" fillId="11" borderId="0" xfId="0" applyFont="1" applyFill="1" applyAlignment="1">
      <alignment vertical="top"/>
    </xf>
    <xf numFmtId="0" fontId="1" fillId="11" borderId="0" xfId="0" applyFont="1" applyFill="1" applyAlignment="1">
      <alignment vertical="top"/>
    </xf>
    <xf numFmtId="10" fontId="3" fillId="11" borderId="44" xfId="11" applyNumberFormat="1" applyFont="1" applyFill="1" applyBorder="1"/>
    <xf numFmtId="10" fontId="3" fillId="11" borderId="44" xfId="9" applyNumberFormat="1" applyFont="1" applyFill="1" applyBorder="1"/>
    <xf numFmtId="10" fontId="5" fillId="11" borderId="0" xfId="0" applyNumberFormat="1" applyFont="1" applyFill="1" applyAlignment="1">
      <alignment vertical="top"/>
    </xf>
    <xf numFmtId="167" fontId="33" fillId="11" borderId="39" xfId="11" applyNumberFormat="1" applyFont="1" applyFill="1" applyBorder="1" applyAlignment="1">
      <alignment horizontal="left"/>
    </xf>
    <xf numFmtId="167" fontId="3" fillId="11" borderId="89" xfId="9" applyNumberFormat="1" applyFont="1" applyFill="1" applyBorder="1" applyAlignment="1">
      <alignment horizontal="left"/>
    </xf>
    <xf numFmtId="167" fontId="3" fillId="11" borderId="89" xfId="1" applyNumberFormat="1" applyFont="1" applyFill="1" applyBorder="1" applyAlignment="1">
      <alignment horizontal="left"/>
    </xf>
    <xf numFmtId="166" fontId="23" fillId="4" borderId="11" xfId="0" applyNumberFormat="1" applyFont="1" applyFill="1" applyBorder="1" applyAlignment="1">
      <alignment horizontal="center" vertical="center"/>
    </xf>
    <xf numFmtId="166" fontId="22" fillId="11" borderId="44" xfId="3" applyNumberFormat="1" applyFont="1" applyFill="1" applyBorder="1" applyAlignment="1">
      <alignment horizontal="center" vertical="center"/>
    </xf>
    <xf numFmtId="0" fontId="23" fillId="17" borderId="39" xfId="3" applyFont="1" applyFill="1" applyBorder="1" applyAlignment="1">
      <alignment horizontal="center" vertical="center" wrapText="1"/>
    </xf>
    <xf numFmtId="0" fontId="23" fillId="17" borderId="40" xfId="3" applyFont="1" applyFill="1" applyBorder="1" applyAlignment="1">
      <alignment horizontal="center" vertical="center" wrapText="1"/>
    </xf>
    <xf numFmtId="0" fontId="23" fillId="17" borderId="41" xfId="3" applyFont="1" applyFill="1" applyBorder="1" applyAlignment="1">
      <alignment horizontal="center" vertical="center" wrapText="1"/>
    </xf>
    <xf numFmtId="0" fontId="23" fillId="13" borderId="39" xfId="3" applyFont="1" applyFill="1" applyBorder="1" applyAlignment="1">
      <alignment horizontal="center" vertical="center" wrapText="1"/>
    </xf>
    <xf numFmtId="0" fontId="23" fillId="13" borderId="40" xfId="3" applyFont="1" applyFill="1" applyBorder="1" applyAlignment="1">
      <alignment horizontal="center" vertical="center" wrapText="1"/>
    </xf>
    <xf numFmtId="0" fontId="23" fillId="13" borderId="41" xfId="3" applyFont="1" applyFill="1" applyBorder="1" applyAlignment="1">
      <alignment horizontal="center" vertical="center" wrapText="1"/>
    </xf>
    <xf numFmtId="0" fontId="23" fillId="6" borderId="39" xfId="3" applyFont="1" applyFill="1" applyBorder="1" applyAlignment="1">
      <alignment horizontal="center" vertical="center" wrapText="1"/>
    </xf>
    <xf numFmtId="0" fontId="23" fillId="6" borderId="40" xfId="3" applyFont="1" applyFill="1" applyBorder="1" applyAlignment="1">
      <alignment horizontal="center" vertical="center" wrapText="1"/>
    </xf>
    <xf numFmtId="0" fontId="23" fillId="6" borderId="41" xfId="3" applyFont="1" applyFill="1" applyBorder="1" applyAlignment="1">
      <alignment horizontal="center" vertical="center" wrapText="1"/>
    </xf>
    <xf numFmtId="0" fontId="23" fillId="4" borderId="39" xfId="3" applyFont="1" applyFill="1" applyBorder="1" applyAlignment="1">
      <alignment horizontal="center" vertical="center"/>
    </xf>
    <xf numFmtId="0" fontId="23" fillId="4" borderId="40" xfId="3" applyFont="1" applyFill="1" applyBorder="1" applyAlignment="1">
      <alignment horizontal="center" vertical="center"/>
    </xf>
    <xf numFmtId="0" fontId="23" fillId="4" borderId="41" xfId="3" applyFont="1" applyFill="1" applyBorder="1" applyAlignment="1">
      <alignment horizontal="center" vertical="center"/>
    </xf>
    <xf numFmtId="0" fontId="23" fillId="17" borderId="39" xfId="3" applyFont="1" applyFill="1" applyBorder="1" applyAlignment="1">
      <alignment horizontal="center" vertical="center"/>
    </xf>
    <xf numFmtId="0" fontId="23" fillId="17" borderId="40" xfId="3" applyFont="1" applyFill="1" applyBorder="1" applyAlignment="1">
      <alignment horizontal="center" vertical="center"/>
    </xf>
    <xf numFmtId="0" fontId="23" fillId="17" borderId="41" xfId="3" applyFont="1" applyFill="1" applyBorder="1" applyAlignment="1">
      <alignment horizontal="center" vertical="center"/>
    </xf>
    <xf numFmtId="49" fontId="23" fillId="13" borderId="39" xfId="3" applyNumberFormat="1" applyFont="1" applyFill="1" applyBorder="1" applyAlignment="1">
      <alignment horizontal="center" vertical="center" wrapText="1"/>
    </xf>
    <xf numFmtId="49" fontId="23" fillId="13" borderId="40" xfId="3" applyNumberFormat="1" applyFont="1" applyFill="1" applyBorder="1" applyAlignment="1">
      <alignment horizontal="center" vertical="center" wrapText="1"/>
    </xf>
    <xf numFmtId="49" fontId="23" fillId="13" borderId="41" xfId="3" applyNumberFormat="1" applyFont="1" applyFill="1" applyBorder="1" applyAlignment="1">
      <alignment horizontal="center" vertical="center" wrapText="1"/>
    </xf>
    <xf numFmtId="49" fontId="24" fillId="8" borderId="39" xfId="3" applyNumberFormat="1" applyFont="1" applyFill="1" applyBorder="1" applyAlignment="1">
      <alignment horizontal="center" vertical="center"/>
    </xf>
    <xf numFmtId="49" fontId="24" fillId="8" borderId="41" xfId="3" applyNumberFormat="1" applyFont="1" applyFill="1" applyBorder="1" applyAlignment="1">
      <alignment horizontal="center" vertical="center"/>
    </xf>
    <xf numFmtId="49" fontId="23" fillId="6" borderId="39" xfId="3" applyNumberFormat="1" applyFont="1" applyFill="1" applyBorder="1" applyAlignment="1">
      <alignment horizontal="center" vertical="center" wrapText="1"/>
    </xf>
    <xf numFmtId="49" fontId="23" fillId="6" borderId="40" xfId="3" applyNumberFormat="1" applyFont="1" applyFill="1" applyBorder="1" applyAlignment="1">
      <alignment horizontal="center" vertical="center" wrapText="1"/>
    </xf>
    <xf numFmtId="49" fontId="23" fillId="6" borderId="41" xfId="3" applyNumberFormat="1" applyFont="1" applyFill="1" applyBorder="1" applyAlignment="1">
      <alignment horizontal="center" vertical="center" wrapText="1"/>
    </xf>
    <xf numFmtId="49" fontId="23" fillId="17" borderId="39" xfId="3" applyNumberFormat="1" applyFont="1" applyFill="1" applyBorder="1" applyAlignment="1">
      <alignment horizontal="center" vertical="center" wrapText="1"/>
    </xf>
    <xf numFmtId="49" fontId="23" fillId="17" borderId="40" xfId="3" applyNumberFormat="1" applyFont="1" applyFill="1" applyBorder="1" applyAlignment="1">
      <alignment horizontal="center" vertical="center" wrapText="1"/>
    </xf>
    <xf numFmtId="49" fontId="23" fillId="17" borderId="41" xfId="3" applyNumberFormat="1" applyFont="1" applyFill="1" applyBorder="1" applyAlignment="1">
      <alignment horizontal="center" vertical="center" wrapText="1"/>
    </xf>
    <xf numFmtId="0" fontId="23" fillId="6" borderId="39" xfId="0" applyFont="1" applyFill="1" applyBorder="1" applyAlignment="1">
      <alignment horizontal="center" vertical="center"/>
    </xf>
    <xf numFmtId="0" fontId="23" fillId="6" borderId="40" xfId="0" applyFont="1" applyFill="1" applyBorder="1" applyAlignment="1">
      <alignment horizontal="center" vertical="center"/>
    </xf>
    <xf numFmtId="0" fontId="23" fillId="6" borderId="41" xfId="0" applyFont="1" applyFill="1" applyBorder="1" applyAlignment="1">
      <alignment horizontal="center" vertical="center"/>
    </xf>
    <xf numFmtId="0" fontId="23" fillId="17" borderId="39" xfId="0" applyFont="1" applyFill="1" applyBorder="1" applyAlignment="1">
      <alignment horizontal="center" vertical="center"/>
    </xf>
    <xf numFmtId="0" fontId="23" fillId="17" borderId="40" xfId="0" applyFont="1" applyFill="1" applyBorder="1" applyAlignment="1">
      <alignment horizontal="center" vertical="center"/>
    </xf>
    <xf numFmtId="0" fontId="23" fillId="17" borderId="41" xfId="0" applyFont="1" applyFill="1" applyBorder="1" applyAlignment="1">
      <alignment horizontal="center" vertical="center"/>
    </xf>
    <xf numFmtId="49" fontId="24" fillId="6" borderId="39" xfId="3" applyNumberFormat="1" applyFont="1" applyFill="1" applyBorder="1" applyAlignment="1">
      <alignment horizontal="center" vertical="center" wrapText="1"/>
    </xf>
    <xf numFmtId="49" fontId="24" fillId="6" borderId="40" xfId="3" applyNumberFormat="1" applyFont="1" applyFill="1" applyBorder="1" applyAlignment="1">
      <alignment horizontal="center" vertical="center" wrapText="1"/>
    </xf>
    <xf numFmtId="49" fontId="24" fillId="6" borderId="41" xfId="3" applyNumberFormat="1" applyFont="1" applyFill="1" applyBorder="1" applyAlignment="1">
      <alignment horizontal="center" vertical="center" wrapText="1"/>
    </xf>
    <xf numFmtId="49" fontId="24" fillId="17" borderId="39" xfId="3" applyNumberFormat="1" applyFont="1" applyFill="1" applyBorder="1" applyAlignment="1">
      <alignment horizontal="center" vertical="center"/>
    </xf>
    <xf numFmtId="49" fontId="24" fillId="17" borderId="40" xfId="3" applyNumberFormat="1" applyFont="1" applyFill="1" applyBorder="1" applyAlignment="1">
      <alignment horizontal="center" vertical="center"/>
    </xf>
    <xf numFmtId="49" fontId="24" fillId="17" borderId="41" xfId="3" applyNumberFormat="1" applyFont="1" applyFill="1" applyBorder="1" applyAlignment="1">
      <alignment horizontal="center" vertical="center"/>
    </xf>
    <xf numFmtId="49" fontId="24" fillId="13" borderId="39" xfId="3" applyNumberFormat="1" applyFont="1" applyFill="1" applyBorder="1" applyAlignment="1">
      <alignment horizontal="center" vertical="center"/>
    </xf>
    <xf numFmtId="49" fontId="24" fillId="13" borderId="40" xfId="3" applyNumberFormat="1" applyFont="1" applyFill="1" applyBorder="1" applyAlignment="1">
      <alignment horizontal="center" vertical="center"/>
    </xf>
    <xf numFmtId="49" fontId="24" fillId="13" borderId="41" xfId="3" applyNumberFormat="1" applyFont="1" applyFill="1" applyBorder="1" applyAlignment="1">
      <alignment horizontal="center" vertical="center"/>
    </xf>
    <xf numFmtId="49" fontId="24" fillId="0" borderId="44" xfId="3" applyNumberFormat="1" applyFont="1" applyFill="1" applyBorder="1" applyAlignment="1">
      <alignment horizontal="center" vertical="center"/>
    </xf>
    <xf numFmtId="49" fontId="18" fillId="11" borderId="14" xfId="0" applyNumberFormat="1" applyFont="1" applyFill="1" applyBorder="1" applyAlignment="1">
      <alignment horizontal="left" vertical="top" wrapText="1"/>
    </xf>
    <xf numFmtId="49" fontId="18" fillId="11" borderId="0" xfId="0" applyNumberFormat="1" applyFont="1" applyFill="1" applyBorder="1" applyAlignment="1">
      <alignment horizontal="left" vertical="top" wrapText="1"/>
    </xf>
    <xf numFmtId="49" fontId="21" fillId="11" borderId="14" xfId="0" applyNumberFormat="1" applyFont="1" applyFill="1" applyBorder="1" applyAlignment="1">
      <alignment horizontal="left" vertical="center" wrapText="1"/>
    </xf>
    <xf numFmtId="49" fontId="21" fillId="11" borderId="0" xfId="0" applyNumberFormat="1" applyFont="1" applyFill="1" applyBorder="1" applyAlignment="1">
      <alignment horizontal="left" vertical="center" wrapText="1"/>
    </xf>
    <xf numFmtId="0" fontId="21" fillId="11" borderId="14" xfId="0" applyFont="1" applyFill="1" applyBorder="1" applyAlignment="1">
      <alignment horizontal="left" vertical="center" wrapText="1"/>
    </xf>
    <xf numFmtId="0" fontId="21" fillId="11" borderId="0" xfId="0" applyFont="1" applyFill="1" applyBorder="1" applyAlignment="1">
      <alignment horizontal="left" vertical="center" wrapText="1"/>
    </xf>
    <xf numFmtId="49" fontId="21" fillId="11" borderId="14" xfId="0" applyNumberFormat="1" applyFont="1" applyFill="1" applyBorder="1" applyAlignment="1">
      <alignment horizontal="justify" vertical="top" wrapText="1"/>
    </xf>
    <xf numFmtId="0" fontId="20" fillId="11" borderId="0" xfId="0" applyFont="1" applyFill="1" applyBorder="1" applyAlignment="1">
      <alignment horizontal="justify" vertical="top"/>
    </xf>
    <xf numFmtId="0" fontId="20" fillId="11" borderId="14" xfId="0" applyFont="1" applyFill="1" applyBorder="1" applyAlignment="1">
      <alignment horizontal="left" vertical="center" wrapText="1"/>
    </xf>
    <xf numFmtId="0" fontId="20" fillId="11" borderId="0" xfId="0" applyFont="1" applyFill="1" applyBorder="1" applyAlignment="1">
      <alignment horizontal="left" vertical="center" wrapText="1"/>
    </xf>
    <xf numFmtId="0" fontId="30" fillId="17" borderId="44" xfId="0" applyFont="1" applyFill="1" applyBorder="1" applyAlignment="1">
      <alignment horizontal="center" vertical="center" wrapText="1"/>
    </xf>
    <xf numFmtId="0" fontId="30" fillId="18" borderId="39" xfId="0" applyFont="1" applyFill="1" applyBorder="1" applyAlignment="1">
      <alignment horizontal="center" vertical="center" wrapText="1"/>
    </xf>
    <xf numFmtId="0" fontId="30" fillId="18" borderId="40" xfId="0" applyFont="1" applyFill="1" applyBorder="1" applyAlignment="1">
      <alignment horizontal="center" vertical="center" wrapText="1"/>
    </xf>
    <xf numFmtId="0" fontId="30" fillId="18" borderId="41" xfId="0" applyFont="1" applyFill="1" applyBorder="1" applyAlignment="1">
      <alignment horizontal="center" vertical="center" wrapText="1"/>
    </xf>
    <xf numFmtId="0" fontId="30" fillId="4" borderId="39" xfId="0" applyFont="1" applyFill="1" applyBorder="1" applyAlignment="1">
      <alignment horizontal="center" vertical="center" wrapText="1"/>
    </xf>
    <xf numFmtId="0" fontId="30" fillId="4" borderId="40" xfId="0" applyFont="1" applyFill="1" applyBorder="1" applyAlignment="1">
      <alignment horizontal="center" vertical="center" wrapText="1"/>
    </xf>
    <xf numFmtId="0" fontId="30" fillId="4" borderId="41" xfId="0" applyFont="1" applyFill="1" applyBorder="1" applyAlignment="1">
      <alignment horizontal="center" vertical="center" wrapText="1"/>
    </xf>
    <xf numFmtId="0" fontId="23" fillId="13" borderId="39" xfId="0" applyFont="1" applyFill="1" applyBorder="1" applyAlignment="1">
      <alignment horizontal="center" vertical="center"/>
    </xf>
    <xf numFmtId="0" fontId="23" fillId="13" borderId="40" xfId="0" applyFont="1" applyFill="1" applyBorder="1" applyAlignment="1">
      <alignment horizontal="center" vertical="center"/>
    </xf>
    <xf numFmtId="0" fontId="23" fillId="13" borderId="41" xfId="0" applyFont="1" applyFill="1" applyBorder="1" applyAlignment="1">
      <alignment horizontal="center" vertical="center"/>
    </xf>
    <xf numFmtId="0" fontId="23" fillId="18" borderId="39" xfId="3" applyFont="1" applyFill="1" applyBorder="1" applyAlignment="1">
      <alignment horizontal="center" vertical="center"/>
    </xf>
    <xf numFmtId="0" fontId="23" fillId="18" borderId="40" xfId="3" applyFont="1" applyFill="1" applyBorder="1" applyAlignment="1">
      <alignment horizontal="center" vertical="center"/>
    </xf>
    <xf numFmtId="4" fontId="1" fillId="8" borderId="44" xfId="0" applyNumberFormat="1" applyFont="1" applyFill="1" applyBorder="1" applyAlignment="1">
      <alignment horizontal="right" vertical="center"/>
    </xf>
    <xf numFmtId="0" fontId="22" fillId="8" borderId="40" xfId="3" applyFont="1" applyFill="1" applyBorder="1" applyAlignment="1">
      <alignment horizontal="center" vertical="center" wrapText="1"/>
    </xf>
    <xf numFmtId="0" fontId="23" fillId="4" borderId="39" xfId="3" applyFont="1" applyFill="1" applyBorder="1" applyAlignment="1">
      <alignment horizontal="center" vertical="center" wrapText="1"/>
    </xf>
    <xf numFmtId="0" fontId="23" fillId="4" borderId="40" xfId="3" applyFont="1" applyFill="1" applyBorder="1" applyAlignment="1">
      <alignment horizontal="center" vertical="center" wrapText="1"/>
    </xf>
    <xf numFmtId="0" fontId="23" fillId="4" borderId="41" xfId="3" applyFont="1" applyFill="1" applyBorder="1" applyAlignment="1">
      <alignment horizontal="center" vertical="center" wrapText="1"/>
    </xf>
    <xf numFmtId="0" fontId="23" fillId="6" borderId="39" xfId="3" applyFont="1" applyFill="1" applyBorder="1" applyAlignment="1">
      <alignment horizontal="center" vertical="center"/>
    </xf>
    <xf numFmtId="0" fontId="23" fillId="6" borderId="40" xfId="3" applyFont="1" applyFill="1" applyBorder="1" applyAlignment="1">
      <alignment horizontal="center" vertical="center"/>
    </xf>
    <xf numFmtId="0" fontId="23" fillId="6" borderId="41" xfId="3" applyFont="1" applyFill="1" applyBorder="1" applyAlignment="1">
      <alignment horizontal="center" vertical="center"/>
    </xf>
    <xf numFmtId="0" fontId="23" fillId="13" borderId="39" xfId="3" applyFont="1" applyFill="1" applyBorder="1" applyAlignment="1">
      <alignment horizontal="center" vertical="center"/>
    </xf>
    <xf numFmtId="0" fontId="23" fillId="13" borderId="40" xfId="3" applyFont="1" applyFill="1" applyBorder="1" applyAlignment="1">
      <alignment horizontal="center" vertical="center"/>
    </xf>
    <xf numFmtId="166" fontId="22" fillId="4" borderId="39" xfId="3" applyNumberFormat="1" applyFont="1" applyFill="1" applyBorder="1" applyAlignment="1">
      <alignment horizontal="center" vertical="center"/>
    </xf>
    <xf numFmtId="166" fontId="22" fillId="4" borderId="40" xfId="3" applyNumberFormat="1" applyFont="1" applyFill="1" applyBorder="1" applyAlignment="1">
      <alignment horizontal="center" vertical="center"/>
    </xf>
    <xf numFmtId="166" fontId="22" fillId="4" borderId="41" xfId="3" applyNumberFormat="1" applyFont="1" applyFill="1" applyBorder="1" applyAlignment="1">
      <alignment horizontal="center" vertical="center"/>
    </xf>
    <xf numFmtId="166" fontId="22" fillId="4" borderId="44" xfId="3" applyNumberFormat="1" applyFont="1" applyFill="1" applyBorder="1" applyAlignment="1">
      <alignment horizontal="center" vertical="center"/>
    </xf>
    <xf numFmtId="49" fontId="23" fillId="4" borderId="39" xfId="3" applyNumberFormat="1" applyFont="1" applyFill="1" applyBorder="1" applyAlignment="1">
      <alignment horizontal="center" vertical="center" wrapText="1"/>
    </xf>
    <xf numFmtId="49" fontId="23" fillId="4" borderId="40" xfId="3" applyNumberFormat="1" applyFont="1" applyFill="1" applyBorder="1" applyAlignment="1">
      <alignment horizontal="center" vertical="center" wrapText="1"/>
    </xf>
    <xf numFmtId="49" fontId="23" fillId="4" borderId="41" xfId="3" applyNumberFormat="1" applyFont="1" applyFill="1" applyBorder="1" applyAlignment="1">
      <alignment horizontal="center" vertical="center" wrapText="1"/>
    </xf>
    <xf numFmtId="49" fontId="4" fillId="9" borderId="57" xfId="0" applyNumberFormat="1" applyFont="1" applyFill="1" applyBorder="1" applyAlignment="1" applyProtection="1">
      <alignment horizontal="justify" vertical="top" wrapText="1"/>
    </xf>
    <xf numFmtId="0" fontId="4" fillId="9" borderId="0" xfId="0" applyFont="1" applyFill="1" applyBorder="1" applyAlignment="1" applyProtection="1">
      <alignment horizontal="justify" vertical="top" wrapText="1"/>
    </xf>
    <xf numFmtId="0" fontId="4" fillId="9" borderId="0" xfId="0" applyFont="1" applyFill="1" applyBorder="1" applyAlignment="1">
      <alignment horizontal="justify" vertical="top" wrapText="1"/>
    </xf>
    <xf numFmtId="0" fontId="4" fillId="9" borderId="85" xfId="0" applyFont="1" applyFill="1" applyBorder="1" applyAlignment="1">
      <alignment horizontal="justify" vertical="top" wrapText="1"/>
    </xf>
    <xf numFmtId="49" fontId="4" fillId="9" borderId="57" xfId="0" applyNumberFormat="1" applyFont="1" applyFill="1" applyBorder="1" applyAlignment="1" applyProtection="1">
      <alignment horizontal="left" vertical="top" wrapText="1"/>
    </xf>
    <xf numFmtId="0" fontId="4" fillId="9" borderId="0" xfId="0" applyNumberFormat="1" applyFont="1" applyFill="1" applyBorder="1" applyAlignment="1" applyProtection="1">
      <alignment horizontal="left" vertical="top" wrapText="1"/>
    </xf>
    <xf numFmtId="0" fontId="5" fillId="9" borderId="0" xfId="0" applyNumberFormat="1" applyFont="1" applyFill="1" applyBorder="1" applyAlignment="1">
      <alignment horizontal="left" vertical="top" wrapText="1"/>
    </xf>
    <xf numFmtId="0" fontId="5" fillId="9" borderId="85" xfId="0" applyNumberFormat="1" applyFont="1" applyFill="1" applyBorder="1" applyAlignment="1">
      <alignment horizontal="left" vertical="top" wrapText="1"/>
    </xf>
    <xf numFmtId="49" fontId="4" fillId="9" borderId="95" xfId="0" applyNumberFormat="1" applyFont="1" applyFill="1" applyBorder="1" applyAlignment="1" applyProtection="1">
      <alignment horizontal="left" vertical="top"/>
    </xf>
    <xf numFmtId="49" fontId="4" fillId="9" borderId="77" xfId="0" applyNumberFormat="1" applyFont="1" applyFill="1" applyBorder="1" applyAlignment="1" applyProtection="1">
      <alignment horizontal="left" vertical="top"/>
    </xf>
    <xf numFmtId="49" fontId="4" fillId="9" borderId="96" xfId="0" applyNumberFormat="1" applyFont="1" applyFill="1" applyBorder="1" applyAlignment="1" applyProtection="1">
      <alignment horizontal="left" vertical="top"/>
    </xf>
    <xf numFmtId="0" fontId="4" fillId="9" borderId="57" xfId="0" applyNumberFormat="1" applyFont="1" applyFill="1" applyBorder="1" applyAlignment="1" applyProtection="1">
      <alignment horizontal="left" vertical="top"/>
    </xf>
    <xf numFmtId="0" fontId="4" fillId="9" borderId="0" xfId="0" applyNumberFormat="1" applyFont="1" applyFill="1" applyBorder="1" applyAlignment="1" applyProtection="1">
      <alignment horizontal="left" vertical="top"/>
    </xf>
    <xf numFmtId="0" fontId="5" fillId="9" borderId="0" xfId="0" applyNumberFormat="1" applyFont="1" applyFill="1" applyBorder="1" applyAlignment="1">
      <alignment horizontal="left" vertical="top"/>
    </xf>
    <xf numFmtId="0" fontId="5" fillId="9" borderId="85" xfId="0" applyNumberFormat="1" applyFont="1" applyFill="1" applyBorder="1" applyAlignment="1">
      <alignment horizontal="left" vertical="top"/>
    </xf>
    <xf numFmtId="0" fontId="5" fillId="0" borderId="4" xfId="0" applyFont="1" applyFill="1" applyBorder="1" applyAlignment="1" applyProtection="1">
      <alignment horizontal="left" vertical="top"/>
    </xf>
    <xf numFmtId="0" fontId="5" fillId="0" borderId="5" xfId="0" applyFont="1" applyFill="1" applyBorder="1" applyAlignment="1" applyProtection="1">
      <alignment horizontal="left" vertical="top"/>
    </xf>
    <xf numFmtId="0" fontId="5" fillId="0" borderId="3" xfId="0" applyFont="1" applyFill="1" applyBorder="1" applyAlignment="1" applyProtection="1">
      <alignment horizontal="left" vertical="top"/>
    </xf>
    <xf numFmtId="0" fontId="5" fillId="0" borderId="35" xfId="0" applyFont="1" applyFill="1" applyBorder="1" applyAlignment="1" applyProtection="1">
      <alignment horizontal="left" vertical="top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49" xfId="0" applyFont="1" applyFill="1" applyBorder="1" applyAlignment="1" applyProtection="1">
      <alignment horizontal="center" vertical="center" wrapText="1"/>
    </xf>
    <xf numFmtId="0" fontId="6" fillId="2" borderId="50" xfId="0" applyFont="1" applyFill="1" applyBorder="1" applyAlignment="1" applyProtection="1">
      <alignment horizontal="center" vertical="center" wrapText="1"/>
    </xf>
    <xf numFmtId="0" fontId="6" fillId="2" borderId="51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52" xfId="0" applyFont="1" applyFill="1" applyBorder="1" applyAlignment="1" applyProtection="1">
      <alignment horizontal="center" vertical="center" wrapText="1"/>
    </xf>
    <xf numFmtId="0" fontId="14" fillId="2" borderId="46" xfId="0" applyFont="1" applyFill="1" applyBorder="1" applyAlignment="1" applyProtection="1">
      <alignment horizontal="center" vertical="top" wrapText="1"/>
    </xf>
    <xf numFmtId="0" fontId="14" fillId="2" borderId="47" xfId="0" applyFont="1" applyFill="1" applyBorder="1" applyAlignment="1" applyProtection="1">
      <alignment horizontal="center" vertical="top" wrapText="1"/>
    </xf>
    <xf numFmtId="0" fontId="14" fillId="2" borderId="48" xfId="0" applyFont="1" applyFill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5" fillId="2" borderId="34" xfId="0" applyFont="1" applyFill="1" applyBorder="1" applyAlignment="1" applyProtection="1">
      <alignment horizontal="center" vertical="top" wrapText="1"/>
    </xf>
    <xf numFmtId="0" fontId="4" fillId="0" borderId="53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164" fontId="5" fillId="0" borderId="54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55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56" xfId="1" applyNumberFormat="1" applyFont="1" applyFill="1" applyBorder="1" applyAlignment="1" applyProtection="1">
      <alignment horizontal="center" vertical="center" wrapText="1"/>
      <protection locked="0"/>
    </xf>
    <xf numFmtId="43" fontId="11" fillId="0" borderId="57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</xf>
    <xf numFmtId="43" fontId="5" fillId="0" borderId="2" xfId="1" applyFont="1" applyFill="1" applyBorder="1" applyAlignment="1" applyProtection="1">
      <alignment horizontal="center" vertical="center" wrapText="1"/>
    </xf>
    <xf numFmtId="43" fontId="5" fillId="0" borderId="1" xfId="1" applyFont="1" applyFill="1" applyBorder="1" applyAlignment="1" applyProtection="1">
      <alignment horizontal="center" vertical="center" wrapText="1"/>
    </xf>
    <xf numFmtId="0" fontId="4" fillId="0" borderId="58" xfId="0" applyFont="1" applyFill="1" applyBorder="1" applyAlignment="1" applyProtection="1">
      <alignment horizontal="left" vertical="center" wrapText="1"/>
    </xf>
    <xf numFmtId="0" fontId="5" fillId="0" borderId="59" xfId="0" applyFont="1" applyFill="1" applyBorder="1" applyAlignment="1" applyProtection="1">
      <alignment horizontal="left" vertical="center" wrapText="1"/>
    </xf>
    <xf numFmtId="164" fontId="5" fillId="0" borderId="60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6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62" xfId="1" applyNumberFormat="1" applyFont="1" applyFill="1" applyBorder="1" applyAlignment="1" applyProtection="1">
      <alignment horizontal="center" vertical="center" wrapText="1"/>
      <protection locked="0"/>
    </xf>
    <xf numFmtId="43" fontId="5" fillId="0" borderId="34" xfId="1" applyFont="1" applyFill="1" applyBorder="1" applyAlignment="1" applyProtection="1">
      <alignment horizontal="center" vertical="center" wrapText="1"/>
    </xf>
    <xf numFmtId="43" fontId="5" fillId="0" borderId="35" xfId="1" applyFont="1" applyFill="1" applyBorder="1" applyAlignment="1" applyProtection="1">
      <alignment horizontal="center" vertical="center" wrapText="1"/>
    </xf>
    <xf numFmtId="43" fontId="5" fillId="0" borderId="36" xfId="1" applyFont="1" applyFill="1" applyBorder="1" applyAlignment="1" applyProtection="1">
      <alignment horizontal="center" vertical="center" wrapText="1"/>
    </xf>
    <xf numFmtId="43" fontId="5" fillId="0" borderId="3" xfId="1" applyFont="1" applyFill="1" applyBorder="1" applyAlignment="1" applyProtection="1">
      <alignment horizontal="center" vertical="center" wrapText="1"/>
    </xf>
    <xf numFmtId="43" fontId="5" fillId="0" borderId="0" xfId="1" applyFont="1" applyFill="1" applyBorder="1" applyAlignment="1" applyProtection="1">
      <alignment horizontal="center" vertical="center" wrapText="1"/>
    </xf>
    <xf numFmtId="43" fontId="5" fillId="0" borderId="45" xfId="1" applyFont="1" applyFill="1" applyBorder="1" applyAlignment="1" applyProtection="1">
      <alignment horizontal="center" vertical="center" wrapText="1"/>
    </xf>
    <xf numFmtId="0" fontId="6" fillId="2" borderId="39" xfId="0" applyFont="1" applyFill="1" applyBorder="1" applyAlignment="1" applyProtection="1">
      <alignment horizontal="center" vertical="center" wrapText="1"/>
    </xf>
    <xf numFmtId="0" fontId="6" fillId="2" borderId="40" xfId="0" applyFont="1" applyFill="1" applyBorder="1" applyAlignment="1" applyProtection="1">
      <alignment horizontal="center" vertical="center" wrapText="1"/>
    </xf>
    <xf numFmtId="0" fontId="6" fillId="2" borderId="63" xfId="0" applyFont="1" applyFill="1" applyBorder="1" applyAlignment="1" applyProtection="1">
      <alignment horizontal="center" vertical="center" wrapText="1"/>
    </xf>
    <xf numFmtId="164" fontId="6" fillId="2" borderId="7" xfId="1" applyNumberFormat="1" applyFont="1" applyFill="1" applyBorder="1" applyAlignment="1" applyProtection="1">
      <alignment horizontal="center" vertical="center" wrapText="1"/>
    </xf>
    <xf numFmtId="164" fontId="6" fillId="2" borderId="6" xfId="1" applyNumberFormat="1" applyFont="1" applyFill="1" applyBorder="1" applyAlignment="1" applyProtection="1">
      <alignment horizontal="center" vertical="center" wrapText="1"/>
    </xf>
    <xf numFmtId="164" fontId="6" fillId="2" borderId="42" xfId="1" applyNumberFormat="1" applyFont="1" applyFill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top" wrapText="1"/>
    </xf>
    <xf numFmtId="0" fontId="13" fillId="0" borderId="0" xfId="0" applyFont="1" applyBorder="1" applyAlignment="1" applyProtection="1">
      <alignment horizontal="center" vertical="top" wrapText="1"/>
    </xf>
    <xf numFmtId="0" fontId="13" fillId="0" borderId="45" xfId="0" applyFont="1" applyBorder="1" applyAlignment="1" applyProtection="1">
      <alignment horizontal="center" vertical="top" wrapText="1"/>
    </xf>
    <xf numFmtId="0" fontId="4" fillId="0" borderId="64" xfId="0" applyFont="1" applyFill="1" applyBorder="1" applyAlignment="1" applyProtection="1">
      <alignment horizontal="left" vertical="center" wrapText="1"/>
    </xf>
    <xf numFmtId="0" fontId="5" fillId="0" borderId="37" xfId="0" applyFont="1" applyFill="1" applyBorder="1" applyAlignment="1" applyProtection="1">
      <alignment horizontal="left" vertical="center" wrapText="1"/>
    </xf>
    <xf numFmtId="164" fontId="5" fillId="0" borderId="65" xfId="1" applyNumberFormat="1" applyFont="1" applyFill="1" applyBorder="1" applyAlignment="1" applyProtection="1">
      <alignment horizontal="center" vertical="center" wrapText="1"/>
    </xf>
    <xf numFmtId="164" fontId="5" fillId="0" borderId="66" xfId="1" applyNumberFormat="1" applyFont="1" applyFill="1" applyBorder="1" applyAlignment="1" applyProtection="1">
      <alignment horizontal="center" vertical="center" wrapText="1"/>
    </xf>
    <xf numFmtId="164" fontId="5" fillId="0" borderId="67" xfId="1" applyNumberFormat="1" applyFont="1" applyFill="1" applyBorder="1" applyAlignment="1" applyProtection="1">
      <alignment horizontal="center" vertical="center" wrapText="1"/>
    </xf>
    <xf numFmtId="0" fontId="5" fillId="2" borderId="58" xfId="0" applyFont="1" applyFill="1" applyBorder="1" applyAlignment="1" applyProtection="1">
      <alignment horizontal="center" vertical="top" wrapText="1"/>
    </xf>
    <xf numFmtId="0" fontId="5" fillId="2" borderId="59" xfId="0" applyFont="1" applyFill="1" applyBorder="1" applyAlignment="1" applyProtection="1">
      <alignment horizontal="center" vertical="top" wrapText="1"/>
    </xf>
    <xf numFmtId="0" fontId="5" fillId="2" borderId="46" xfId="0" applyFont="1" applyFill="1" applyBorder="1" applyAlignment="1" applyProtection="1">
      <alignment horizontal="center" vertical="top" wrapText="1"/>
    </xf>
    <xf numFmtId="0" fontId="5" fillId="2" borderId="47" xfId="0" applyFont="1" applyFill="1" applyBorder="1" applyAlignment="1" applyProtection="1">
      <alignment horizontal="center" vertical="top" wrapText="1"/>
    </xf>
    <xf numFmtId="0" fontId="5" fillId="2" borderId="48" xfId="0" applyFont="1" applyFill="1" applyBorder="1" applyAlignment="1" applyProtection="1">
      <alignment horizontal="center" vertical="top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43" fontId="5" fillId="0" borderId="35" xfId="1" applyNumberFormat="1" applyFont="1" applyFill="1" applyBorder="1" applyAlignment="1" applyProtection="1">
      <alignment horizontal="center" vertical="center" wrapText="1"/>
    </xf>
    <xf numFmtId="43" fontId="5" fillId="0" borderId="68" xfId="1" applyNumberFormat="1" applyFont="1" applyFill="1" applyBorder="1" applyAlignment="1" applyProtection="1">
      <alignment horizontal="center" vertical="center" wrapText="1"/>
    </xf>
    <xf numFmtId="43" fontId="11" fillId="0" borderId="69" xfId="1" applyNumberFormat="1" applyFont="1" applyFill="1" applyBorder="1" applyAlignment="1" applyProtection="1">
      <alignment horizontal="center" vertical="center" wrapText="1"/>
    </xf>
    <xf numFmtId="43" fontId="11" fillId="0" borderId="70" xfId="1" applyNumberFormat="1" applyFont="1" applyFill="1" applyBorder="1" applyAlignment="1" applyProtection="1">
      <alignment horizontal="center" vertical="center" wrapText="1"/>
    </xf>
    <xf numFmtId="0" fontId="15" fillId="0" borderId="71" xfId="0" applyFont="1" applyBorder="1" applyAlignment="1" applyProtection="1">
      <alignment horizontal="center" vertical="top"/>
    </xf>
    <xf numFmtId="0" fontId="15" fillId="0" borderId="72" xfId="0" applyFont="1" applyBorder="1" applyAlignment="1" applyProtection="1">
      <alignment horizontal="center" vertical="top"/>
    </xf>
    <xf numFmtId="0" fontId="15" fillId="0" borderId="92" xfId="0" applyFont="1" applyFill="1" applyBorder="1" applyAlignment="1" applyProtection="1">
      <alignment horizontal="center" vertical="top"/>
      <protection locked="0"/>
    </xf>
    <xf numFmtId="0" fontId="15" fillId="0" borderId="59" xfId="0" applyFont="1" applyFill="1" applyBorder="1" applyAlignment="1" applyProtection="1">
      <alignment horizontal="center" vertical="top"/>
      <protection locked="0"/>
    </xf>
    <xf numFmtId="0" fontId="15" fillId="0" borderId="87" xfId="0" applyFont="1" applyFill="1" applyBorder="1" applyAlignment="1" applyProtection="1">
      <alignment horizontal="center" vertical="top"/>
      <protection locked="0"/>
    </xf>
    <xf numFmtId="0" fontId="15" fillId="0" borderId="4" xfId="0" applyFont="1" applyBorder="1" applyAlignment="1" applyProtection="1">
      <alignment horizontal="center" vertical="top"/>
    </xf>
    <xf numFmtId="0" fontId="15" fillId="0" borderId="5" xfId="0" applyFont="1" applyBorder="1" applyAlignment="1" applyProtection="1">
      <alignment horizontal="center" vertical="top"/>
    </xf>
    <xf numFmtId="0" fontId="15" fillId="0" borderId="1" xfId="0" applyFont="1" applyFill="1" applyBorder="1" applyAlignment="1" applyProtection="1">
      <alignment horizontal="center" vertical="top" wrapText="1"/>
    </xf>
    <xf numFmtId="0" fontId="15" fillId="0" borderId="34" xfId="0" applyFont="1" applyFill="1" applyBorder="1" applyAlignment="1" applyProtection="1">
      <alignment horizontal="center" vertical="top" wrapText="1"/>
    </xf>
    <xf numFmtId="0" fontId="6" fillId="0" borderId="14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45" xfId="0" applyFont="1" applyFill="1" applyBorder="1" applyAlignment="1" applyProtection="1">
      <alignment horizontal="center" vertical="top"/>
    </xf>
    <xf numFmtId="0" fontId="14" fillId="0" borderId="14" xfId="0" applyFont="1" applyBorder="1" applyAlignment="1" applyProtection="1">
      <alignment horizontal="center" vertical="top" wrapText="1"/>
    </xf>
    <xf numFmtId="0" fontId="14" fillId="0" borderId="0" xfId="0" applyFont="1" applyBorder="1" applyAlignment="1" applyProtection="1">
      <alignment horizontal="center" vertical="top" wrapText="1"/>
    </xf>
    <xf numFmtId="0" fontId="14" fillId="0" borderId="45" xfId="0" applyFont="1" applyBorder="1" applyAlignment="1" applyProtection="1">
      <alignment horizontal="center" vertical="top" wrapText="1"/>
    </xf>
    <xf numFmtId="0" fontId="11" fillId="0" borderId="14" xfId="0" applyFont="1" applyFill="1" applyBorder="1" applyAlignment="1" applyProtection="1">
      <alignment horizontal="center" vertical="top" wrapText="1"/>
    </xf>
    <xf numFmtId="0" fontId="11" fillId="0" borderId="0" xfId="0" applyFont="1" applyFill="1" applyBorder="1" applyAlignment="1" applyProtection="1">
      <alignment horizontal="center" vertical="top" wrapText="1"/>
    </xf>
    <xf numFmtId="0" fontId="11" fillId="0" borderId="45" xfId="0" applyFont="1" applyFill="1" applyBorder="1" applyAlignment="1" applyProtection="1">
      <alignment horizontal="center" vertical="top" wrapText="1"/>
    </xf>
    <xf numFmtId="0" fontId="5" fillId="5" borderId="0" xfId="0" applyFont="1" applyFill="1" applyBorder="1" applyAlignment="1" applyProtection="1">
      <alignment horizontal="center" vertical="top"/>
    </xf>
    <xf numFmtId="0" fontId="16" fillId="0" borderId="2" xfId="0" applyFont="1" applyFill="1" applyBorder="1" applyAlignment="1" applyProtection="1">
      <alignment horizontal="center" vertical="top"/>
      <protection locked="0"/>
    </xf>
    <xf numFmtId="0" fontId="16" fillId="0" borderId="1" xfId="0" applyFont="1" applyFill="1" applyBorder="1" applyAlignment="1" applyProtection="1">
      <alignment horizontal="center" vertical="top"/>
      <protection locked="0"/>
    </xf>
    <xf numFmtId="14" fontId="15" fillId="0" borderId="1" xfId="0" applyNumberFormat="1" applyFont="1" applyFill="1" applyBorder="1" applyAlignment="1" applyProtection="1">
      <alignment horizontal="center" vertical="top"/>
      <protection locked="0"/>
    </xf>
    <xf numFmtId="0" fontId="15" fillId="0" borderId="1" xfId="0" applyNumberFormat="1" applyFont="1" applyFill="1" applyBorder="1" applyAlignment="1" applyProtection="1">
      <alignment horizontal="center" vertical="top"/>
      <protection locked="0"/>
    </xf>
    <xf numFmtId="0" fontId="15" fillId="0" borderId="34" xfId="0" applyNumberFormat="1" applyFont="1" applyFill="1" applyBorder="1" applyAlignment="1" applyProtection="1">
      <alignment horizontal="center" vertical="top"/>
      <protection locked="0"/>
    </xf>
    <xf numFmtId="0" fontId="15" fillId="0" borderId="3" xfId="0" applyFont="1" applyBorder="1" applyAlignment="1" applyProtection="1">
      <alignment horizontal="center" vertical="top"/>
    </xf>
    <xf numFmtId="0" fontId="15" fillId="0" borderId="35" xfId="0" applyFont="1" applyBorder="1" applyAlignment="1" applyProtection="1">
      <alignment horizontal="center" vertical="top"/>
    </xf>
    <xf numFmtId="0" fontId="15" fillId="0" borderId="36" xfId="0" applyFont="1" applyBorder="1" applyAlignment="1" applyProtection="1">
      <alignment horizontal="center" vertical="top"/>
    </xf>
    <xf numFmtId="0" fontId="3" fillId="11" borderId="7" xfId="9" applyFont="1" applyFill="1" applyBorder="1" applyAlignment="1">
      <alignment horizontal="center"/>
    </xf>
    <xf numFmtId="0" fontId="3" fillId="11" borderId="42" xfId="9" applyFont="1" applyFill="1" applyBorder="1" applyAlignment="1">
      <alignment horizontal="center"/>
    </xf>
    <xf numFmtId="10" fontId="20" fillId="4" borderId="49" xfId="0" applyNumberFormat="1" applyFont="1" applyFill="1" applyBorder="1" applyAlignment="1">
      <alignment horizontal="center" vertical="center" wrapText="1"/>
    </xf>
    <xf numFmtId="166" fontId="20" fillId="4" borderId="49" xfId="0" applyNumberFormat="1" applyFont="1" applyFill="1" applyBorder="1" applyAlignment="1">
      <alignment horizontal="center" vertical="center"/>
    </xf>
    <xf numFmtId="49" fontId="4" fillId="11" borderId="57" xfId="0" applyNumberFormat="1" applyFont="1" applyFill="1" applyBorder="1" applyAlignment="1">
      <alignment horizontal="left" vertical="top" wrapText="1"/>
    </xf>
    <xf numFmtId="49" fontId="4" fillId="11" borderId="0" xfId="0" applyNumberFormat="1" applyFont="1" applyFill="1" applyBorder="1" applyAlignment="1">
      <alignment horizontal="left" vertical="top" wrapText="1"/>
    </xf>
    <xf numFmtId="49" fontId="23" fillId="4" borderId="57" xfId="3" applyNumberFormat="1" applyFont="1" applyFill="1" applyBorder="1" applyAlignment="1">
      <alignment horizontal="center" vertical="top" wrapText="1"/>
    </xf>
    <xf numFmtId="49" fontId="23" fillId="4" borderId="0" xfId="3" applyNumberFormat="1" applyFont="1" applyFill="1" applyBorder="1" applyAlignment="1">
      <alignment horizontal="center" vertical="top" wrapText="1"/>
    </xf>
    <xf numFmtId="49" fontId="23" fillId="4" borderId="45" xfId="3" applyNumberFormat="1" applyFont="1" applyFill="1" applyBorder="1" applyAlignment="1">
      <alignment horizontal="center" vertical="top" wrapText="1"/>
    </xf>
    <xf numFmtId="49" fontId="21" fillId="6" borderId="57" xfId="0" applyNumberFormat="1" applyFont="1" applyFill="1" applyBorder="1" applyAlignment="1">
      <alignment horizontal="left" vertical="top" wrapText="1"/>
    </xf>
    <xf numFmtId="0" fontId="21" fillId="6" borderId="0" xfId="0" applyNumberFormat="1" applyFont="1" applyFill="1" applyBorder="1" applyAlignment="1">
      <alignment horizontal="left" vertical="top" wrapText="1"/>
    </xf>
    <xf numFmtId="0" fontId="13" fillId="4" borderId="14" xfId="0" applyFont="1" applyFill="1" applyBorder="1" applyAlignment="1" applyProtection="1">
      <alignment horizontal="center" vertical="top" wrapText="1"/>
    </xf>
    <xf numFmtId="0" fontId="13" fillId="4" borderId="0" xfId="0" applyFont="1" applyFill="1" applyBorder="1" applyAlignment="1" applyProtection="1">
      <alignment horizontal="center" vertical="top" wrapText="1"/>
    </xf>
    <xf numFmtId="0" fontId="15" fillId="0" borderId="35" xfId="0" applyNumberFormat="1" applyFont="1" applyBorder="1" applyAlignment="1" applyProtection="1">
      <alignment horizontal="center" vertical="top"/>
    </xf>
    <xf numFmtId="0" fontId="15" fillId="0" borderId="36" xfId="0" applyNumberFormat="1" applyFont="1" applyBorder="1" applyAlignment="1" applyProtection="1">
      <alignment horizontal="center" vertical="top"/>
    </xf>
    <xf numFmtId="0" fontId="25" fillId="4" borderId="14" xfId="0" applyFont="1" applyFill="1" applyBorder="1" applyAlignment="1" applyProtection="1">
      <alignment horizontal="center" vertical="top" wrapText="1"/>
    </xf>
    <xf numFmtId="0" fontId="25" fillId="4" borderId="0" xfId="0" applyFont="1" applyFill="1" applyBorder="1" applyAlignment="1" applyProtection="1">
      <alignment horizontal="center" vertical="top" wrapText="1"/>
    </xf>
    <xf numFmtId="0" fontId="25" fillId="4" borderId="45" xfId="0" applyFont="1" applyFill="1" applyBorder="1" applyAlignment="1" applyProtection="1">
      <alignment horizontal="center" vertical="top" wrapText="1"/>
    </xf>
    <xf numFmtId="0" fontId="15" fillId="12" borderId="92" xfId="0" applyFont="1" applyFill="1" applyBorder="1" applyAlignment="1" applyProtection="1">
      <alignment horizontal="center" vertical="top"/>
      <protection locked="0"/>
    </xf>
    <xf numFmtId="0" fontId="15" fillId="12" borderId="59" xfId="0" applyFont="1" applyFill="1" applyBorder="1" applyAlignment="1" applyProtection="1">
      <alignment horizontal="center" vertical="top"/>
      <protection locked="0"/>
    </xf>
    <xf numFmtId="0" fontId="15" fillId="12" borderId="87" xfId="0" applyFont="1" applyFill="1" applyBorder="1" applyAlignment="1" applyProtection="1">
      <alignment horizontal="center" vertical="top"/>
      <protection locked="0"/>
    </xf>
    <xf numFmtId="0" fontId="21" fillId="6" borderId="57" xfId="0" applyNumberFormat="1" applyFont="1" applyFill="1" applyBorder="1" applyAlignment="1">
      <alignment horizontal="left" vertical="top" wrapText="1"/>
    </xf>
    <xf numFmtId="0" fontId="21" fillId="6" borderId="85" xfId="0" applyNumberFormat="1" applyFont="1" applyFill="1" applyBorder="1" applyAlignment="1">
      <alignment horizontal="left" vertical="top" wrapText="1"/>
    </xf>
    <xf numFmtId="14" fontId="15" fillId="0" borderId="34" xfId="0" applyNumberFormat="1" applyFont="1" applyFill="1" applyBorder="1" applyAlignment="1" applyProtection="1">
      <alignment horizontal="center" vertical="top"/>
      <protection locked="0"/>
    </xf>
    <xf numFmtId="0" fontId="26" fillId="0" borderId="25" xfId="0" applyFont="1" applyFill="1" applyBorder="1" applyAlignment="1">
      <alignment horizontal="left" vertical="center" wrapText="1"/>
    </xf>
    <xf numFmtId="0" fontId="26" fillId="0" borderId="82" xfId="0" applyFont="1" applyFill="1" applyBorder="1" applyAlignment="1">
      <alignment horizontal="left" vertical="center" wrapText="1"/>
    </xf>
    <xf numFmtId="0" fontId="26" fillId="0" borderId="83" xfId="0" applyFont="1" applyFill="1" applyBorder="1" applyAlignment="1">
      <alignment horizontal="left" vertical="center" wrapText="1"/>
    </xf>
    <xf numFmtId="49" fontId="21" fillId="6" borderId="0" xfId="0" applyNumberFormat="1" applyFont="1" applyFill="1" applyBorder="1" applyAlignment="1">
      <alignment horizontal="left" vertical="top" wrapText="1"/>
    </xf>
    <xf numFmtId="49" fontId="21" fillId="6" borderId="85" xfId="0" applyNumberFormat="1" applyFont="1" applyFill="1" applyBorder="1" applyAlignment="1">
      <alignment horizontal="left" vertical="top" wrapText="1"/>
    </xf>
    <xf numFmtId="49" fontId="4" fillId="6" borderId="57" xfId="0" applyNumberFormat="1" applyFont="1" applyFill="1" applyBorder="1" applyAlignment="1" applyProtection="1">
      <alignment horizontal="left" vertical="top"/>
    </xf>
    <xf numFmtId="49" fontId="4" fillId="6" borderId="0" xfId="0" applyNumberFormat="1" applyFont="1" applyFill="1" applyBorder="1" applyAlignment="1" applyProtection="1">
      <alignment horizontal="left" vertical="top"/>
    </xf>
    <xf numFmtId="49" fontId="4" fillId="6" borderId="85" xfId="0" applyNumberFormat="1" applyFont="1" applyFill="1" applyBorder="1" applyAlignment="1" applyProtection="1">
      <alignment horizontal="left" vertical="top"/>
    </xf>
    <xf numFmtId="49" fontId="3" fillId="6" borderId="7" xfId="0" applyNumberFormat="1" applyFont="1" applyFill="1" applyBorder="1" applyAlignment="1" applyProtection="1">
      <alignment horizontal="center" vertical="center" wrapText="1"/>
    </xf>
    <xf numFmtId="49" fontId="3" fillId="6" borderId="6" xfId="0" applyNumberFormat="1" applyFont="1" applyFill="1" applyBorder="1" applyAlignment="1" applyProtection="1">
      <alignment horizontal="center" vertical="center" wrapText="1"/>
    </xf>
    <xf numFmtId="49" fontId="3" fillId="6" borderId="42" xfId="0" applyNumberFormat="1" applyFont="1" applyFill="1" applyBorder="1" applyAlignment="1" applyProtection="1">
      <alignment horizontal="center" vertical="center" wrapText="1"/>
    </xf>
    <xf numFmtId="0" fontId="26" fillId="0" borderId="22" xfId="0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26" fillId="0" borderId="63" xfId="0" applyFont="1" applyFill="1" applyBorder="1" applyAlignment="1">
      <alignment horizontal="left" vertical="center" wrapText="1"/>
    </xf>
    <xf numFmtId="0" fontId="0" fillId="0" borderId="19" xfId="0" applyBorder="1" applyAlignment="1" applyProtection="1">
      <alignment horizontal="left" vertical="center"/>
      <protection hidden="1"/>
    </xf>
    <xf numFmtId="0" fontId="0" fillId="0" borderId="73" xfId="0" applyBorder="1" applyAlignment="1" applyProtection="1">
      <alignment horizontal="left" vertical="center"/>
      <protection hidden="1"/>
    </xf>
    <xf numFmtId="0" fontId="0" fillId="0" borderId="74" xfId="0" applyBorder="1" applyAlignment="1" applyProtection="1">
      <alignment horizontal="left" vertical="center"/>
      <protection hidden="1"/>
    </xf>
    <xf numFmtId="43" fontId="0" fillId="0" borderId="75" xfId="1" applyFont="1" applyBorder="1" applyAlignment="1">
      <alignment horizontal="center"/>
    </xf>
    <xf numFmtId="43" fontId="0" fillId="0" borderId="43" xfId="1" applyFont="1" applyBorder="1" applyAlignment="1">
      <alignment horizontal="center"/>
    </xf>
    <xf numFmtId="43" fontId="0" fillId="0" borderId="43" xfId="1" applyFont="1" applyBorder="1" applyAlignment="1"/>
    <xf numFmtId="43" fontId="0" fillId="0" borderId="76" xfId="1" applyFont="1" applyBorder="1" applyAlignment="1"/>
    <xf numFmtId="0" fontId="4" fillId="0" borderId="77" xfId="0" applyFont="1" applyBorder="1" applyAlignment="1">
      <alignment horizontal="center"/>
    </xf>
    <xf numFmtId="0" fontId="4" fillId="2" borderId="19" xfId="0" applyFont="1" applyFill="1" applyBorder="1" applyAlignment="1" applyProtection="1">
      <alignment horizontal="left" vertical="center"/>
      <protection hidden="1"/>
    </xf>
    <xf numFmtId="0" fontId="4" fillId="2" borderId="73" xfId="0" applyFont="1" applyFill="1" applyBorder="1" applyAlignment="1" applyProtection="1">
      <alignment horizontal="left" vertical="center"/>
      <protection hidden="1"/>
    </xf>
    <xf numFmtId="0" fontId="4" fillId="2" borderId="74" xfId="0" applyFont="1" applyFill="1" applyBorder="1" applyAlignment="1" applyProtection="1">
      <alignment horizontal="left" vertical="center"/>
      <protection hidden="1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0" borderId="22" xfId="0" applyBorder="1" applyAlignment="1" applyProtection="1">
      <alignment horizontal="left" vertical="center"/>
      <protection hidden="1"/>
    </xf>
    <xf numFmtId="0" fontId="0" fillId="0" borderId="40" xfId="0" applyBorder="1" applyAlignment="1" applyProtection="1">
      <alignment horizontal="left" vertical="center"/>
      <protection hidden="1"/>
    </xf>
    <xf numFmtId="0" fontId="0" fillId="0" borderId="63" xfId="0" applyBorder="1" applyAlignment="1" applyProtection="1">
      <alignment horizontal="left" vertical="center"/>
      <protection hidden="1"/>
    </xf>
    <xf numFmtId="43" fontId="0" fillId="0" borderId="78" xfId="1" applyFont="1" applyBorder="1" applyAlignment="1">
      <alignment horizontal="center"/>
    </xf>
    <xf numFmtId="43" fontId="0" fillId="0" borderId="44" xfId="1" applyFont="1" applyBorder="1" applyAlignment="1">
      <alignment horizontal="center"/>
    </xf>
    <xf numFmtId="43" fontId="0" fillId="0" borderId="44" xfId="1" applyFont="1" applyBorder="1" applyAlignment="1"/>
    <xf numFmtId="43" fontId="0" fillId="0" borderId="79" xfId="1" applyFont="1" applyBorder="1" applyAlignment="1"/>
    <xf numFmtId="0" fontId="4" fillId="2" borderId="15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43" fontId="0" fillId="0" borderId="80" xfId="1" applyFont="1" applyBorder="1" applyAlignment="1"/>
    <xf numFmtId="43" fontId="0" fillId="0" borderId="81" xfId="1" applyFont="1" applyBorder="1" applyAlignment="1"/>
    <xf numFmtId="0" fontId="0" fillId="0" borderId="19" xfId="0" applyBorder="1" applyAlignment="1">
      <alignment horizontal="left"/>
    </xf>
    <xf numFmtId="0" fontId="0" fillId="0" borderId="73" xfId="0" applyBorder="1" applyAlignment="1">
      <alignment horizontal="left"/>
    </xf>
    <xf numFmtId="0" fontId="0" fillId="0" borderId="7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82" xfId="0" applyBorder="1" applyAlignment="1">
      <alignment horizontal="left"/>
    </xf>
    <xf numFmtId="0" fontId="0" fillId="0" borderId="83" xfId="0" applyBorder="1" applyAlignment="1">
      <alignment horizontal="left"/>
    </xf>
    <xf numFmtId="0" fontId="0" fillId="0" borderId="25" xfId="0" applyBorder="1" applyAlignment="1" applyProtection="1">
      <alignment horizontal="left" vertical="center"/>
      <protection hidden="1"/>
    </xf>
    <xf numFmtId="0" fontId="0" fillId="0" borderId="82" xfId="0" applyBorder="1" applyAlignment="1" applyProtection="1">
      <alignment horizontal="left" vertical="center"/>
      <protection hidden="1"/>
    </xf>
    <xf numFmtId="0" fontId="0" fillId="0" borderId="83" xfId="0" applyBorder="1" applyAlignment="1" applyProtection="1">
      <alignment horizontal="left" vertical="center"/>
      <protection hidden="1"/>
    </xf>
    <xf numFmtId="43" fontId="0" fillId="0" borderId="84" xfId="1" applyFont="1" applyBorder="1" applyAlignment="1">
      <alignment horizontal="center"/>
    </xf>
    <xf numFmtId="43" fontId="0" fillId="0" borderId="80" xfId="1" applyFont="1" applyBorder="1" applyAlignment="1">
      <alignment horizontal="center"/>
    </xf>
  </cellXfs>
  <cellStyles count="12">
    <cellStyle name="Moeda" xfId="2" builtinId="4"/>
    <cellStyle name="Normal" xfId="0" builtinId="0"/>
    <cellStyle name="Normal 11 2" xfId="8"/>
    <cellStyle name="Normal 16 2" xfId="4"/>
    <cellStyle name="Normal 2" xfId="9"/>
    <cellStyle name="Normal_Planilha de Preços Unitários 2000-2001" xfId="3"/>
    <cellStyle name="Porcentagem" xfId="7" builtinId="5"/>
    <cellStyle name="Porcentagem 2" xfId="11"/>
    <cellStyle name="Porcentagem 3" xfId="5"/>
    <cellStyle name="Vírgula" xfId="1" builtinId="3"/>
    <cellStyle name="Vírgula 2" xfId="6"/>
    <cellStyle name="Vírgula 2 2" xfId="10"/>
  </cellStyles>
  <dxfs count="23">
    <dxf>
      <font>
        <b/>
        <i val="0"/>
        <color auto="1"/>
      </font>
      <fill>
        <patternFill>
          <bgColor indexed="51"/>
        </patternFill>
      </fill>
    </dxf>
    <dxf>
      <font>
        <b/>
        <i val="0"/>
        <color auto="1"/>
      </font>
      <fill>
        <patternFill>
          <bgColor indexed="51"/>
        </patternFill>
      </fill>
    </dxf>
    <dxf>
      <font>
        <b/>
        <i val="0"/>
        <color auto="1"/>
      </font>
      <fill>
        <patternFill>
          <bgColor indexed="51"/>
        </patternFill>
      </fill>
    </dxf>
    <dxf>
      <font>
        <b/>
        <i val="0"/>
        <color auto="1"/>
      </font>
      <fill>
        <patternFill>
          <bgColor indexed="51"/>
        </patternFill>
      </fill>
    </dxf>
    <dxf>
      <font>
        <b/>
        <i val="0"/>
        <color auto="1"/>
      </font>
      <fill>
        <patternFill>
          <bgColor indexed="51"/>
        </patternFill>
      </fill>
    </dxf>
    <dxf>
      <font>
        <b/>
        <i val="0"/>
        <color auto="1"/>
      </font>
      <fill>
        <patternFill>
          <bgColor indexed="51"/>
        </patternFill>
      </fill>
    </dxf>
    <dxf>
      <font>
        <condense val="0"/>
        <extend val="0"/>
        <color indexed="60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60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60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60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60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60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60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60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60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6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60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16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60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strike val="0"/>
        <condense val="0"/>
        <extend val="0"/>
        <color indexed="16"/>
      </font>
      <fill>
        <patternFill>
          <bgColor indexed="13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Plan4!$B$17" fmlaRange="Plan4!$C$19:$C$24" noThreeD="1" sel="1" val="0"/>
</file>

<file path=xl/ctrlProps/ctrlProp2.xml><?xml version="1.0" encoding="utf-8"?>
<formControlPr xmlns="http://schemas.microsoft.com/office/spreadsheetml/2009/9/main" objectType="Drop" dropLines="2" dropStyle="combo" dx="22" fmlaLink="Plan4!$B$26" fmlaRange="Plan4!$C$28:$I$2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345113</xdr:colOff>
      <xdr:row>0</xdr:row>
      <xdr:rowOff>143535</xdr:rowOff>
    </xdr:from>
    <xdr:to>
      <xdr:col>7</xdr:col>
      <xdr:colOff>123824</xdr:colOff>
      <xdr:row>0</xdr:row>
      <xdr:rowOff>971550</xdr:rowOff>
    </xdr:to>
    <xdr:grpSp>
      <xdr:nvGrpSpPr>
        <xdr:cNvPr id="11" name="Group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pSpPr>
          <a:grpSpLocks noChangeAspect="1"/>
        </xdr:cNvGrpSpPr>
      </xdr:nvGrpSpPr>
      <xdr:grpSpPr bwMode="auto">
        <a:xfrm>
          <a:off x="345113" y="143535"/>
          <a:ext cx="8703636" cy="828015"/>
          <a:chOff x="-154" y="-569"/>
          <a:chExt cx="749" cy="164"/>
        </a:xfrm>
      </xdr:grpSpPr>
      <xdr:pic>
        <xdr:nvPicPr>
          <xdr:cNvPr id="12" name="Picture 2" descr="BRASÃO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54" y="-569"/>
            <a:ext cx="98" cy="1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Text Box 3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41" y="-556"/>
            <a:ext cx="636" cy="1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54864" tIns="41148" rIns="0" bIns="0" anchor="t" upright="1"/>
          <a:lstStyle/>
          <a:p>
            <a:pPr algn="l" rtl="1">
              <a:defRPr sz="1000"/>
            </a:pPr>
            <a:r>
              <a:rPr lang="pt-BR" sz="1400" b="0" i="1" strike="noStrike">
                <a:solidFill>
                  <a:srgbClr val="000000"/>
                </a:solidFill>
                <a:latin typeface="Arial"/>
                <a:cs typeface="Arial"/>
              </a:rPr>
              <a:t>Estado do Rio Grande do Sul</a:t>
            </a:r>
          </a:p>
          <a:p>
            <a:pPr algn="l" rtl="1">
              <a:defRPr sz="1000"/>
            </a:pPr>
            <a:r>
              <a:rPr lang="pt-BR" sz="1800" b="1" i="0" strike="noStrike">
                <a:solidFill>
                  <a:srgbClr val="000000"/>
                </a:solidFill>
                <a:latin typeface="Arial"/>
                <a:cs typeface="Arial"/>
              </a:rPr>
              <a:t>PREFEITURA MUNICIPAL DE SÃO JERÔNIMO</a:t>
            </a:r>
          </a:p>
          <a:p>
            <a:pPr algn="l" rtl="1">
              <a:defRPr sz="1000"/>
            </a:pPr>
            <a:r>
              <a:rPr lang="pt-BR" sz="1200" b="0" i="1" strike="noStrike">
                <a:solidFill>
                  <a:srgbClr val="000000"/>
                </a:solidFill>
                <a:latin typeface="Arial"/>
                <a:cs typeface="Arial"/>
              </a:rPr>
              <a:t>          Secretaria</a:t>
            </a:r>
            <a:r>
              <a:rPr lang="pt-BR" sz="1200" b="0" i="1" strike="noStrike" baseline="0">
                <a:solidFill>
                  <a:srgbClr val="000000"/>
                </a:solidFill>
                <a:latin typeface="Arial"/>
                <a:cs typeface="Arial"/>
              </a:rPr>
              <a:t> Municipal de Educação</a:t>
            </a:r>
            <a:endParaRPr lang="pt-BR" sz="1200" b="0" i="1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endParaRPr lang="pt-BR" sz="12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41413</xdr:colOff>
      <xdr:row>20</xdr:row>
      <xdr:rowOff>140339</xdr:rowOff>
    </xdr:from>
    <xdr:to>
      <xdr:col>18</xdr:col>
      <xdr:colOff>352010</xdr:colOff>
      <xdr:row>22</xdr:row>
      <xdr:rowOff>217714</xdr:rowOff>
    </xdr:to>
    <xdr:pic>
      <xdr:nvPicPr>
        <xdr:cNvPr id="11273" name="Picture 2">
          <a:extLst>
            <a:ext uri="{FF2B5EF4-FFF2-40B4-BE49-F238E27FC236}">
              <a16:creationId xmlns="" xmlns:a16="http://schemas.microsoft.com/office/drawing/2014/main" id="{00000000-0008-0000-0100-000009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9478" y="8091643"/>
          <a:ext cx="2596597" cy="83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100854</xdr:colOff>
      <xdr:row>0</xdr:row>
      <xdr:rowOff>100854</xdr:rowOff>
    </xdr:from>
    <xdr:to>
      <xdr:col>12</xdr:col>
      <xdr:colOff>248186</xdr:colOff>
      <xdr:row>0</xdr:row>
      <xdr:rowOff>928869</xdr:rowOff>
    </xdr:to>
    <xdr:grpSp>
      <xdr:nvGrpSpPr>
        <xdr:cNvPr id="14" name="Group 1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GrpSpPr>
          <a:grpSpLocks noChangeAspect="1"/>
        </xdr:cNvGrpSpPr>
      </xdr:nvGrpSpPr>
      <xdr:grpSpPr bwMode="auto">
        <a:xfrm>
          <a:off x="100854" y="100854"/>
          <a:ext cx="6344932" cy="828015"/>
          <a:chOff x="-154" y="-569"/>
          <a:chExt cx="749" cy="164"/>
        </a:xfrm>
      </xdr:grpSpPr>
      <xdr:pic>
        <xdr:nvPicPr>
          <xdr:cNvPr id="15" name="Picture 2" descr="BRASÃO">
            <a:extLst>
              <a:ext uri="{FF2B5EF4-FFF2-40B4-BE49-F238E27FC236}">
                <a16:creationId xmlns="" xmlns:a16="http://schemas.microsoft.com/office/drawing/2014/main" id="{00000000-0008-0000-01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54" y="-569"/>
            <a:ext cx="98" cy="1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" name="Text Box 3">
            <a:extLst>
              <a:ext uri="{FF2B5EF4-FFF2-40B4-BE49-F238E27FC236}">
                <a16:creationId xmlns="" xmlns:a16="http://schemas.microsoft.com/office/drawing/2014/main" id="{00000000-0008-0000-01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41" y="-556"/>
            <a:ext cx="636" cy="1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54864" tIns="41148" rIns="0" bIns="0" anchor="t" upright="1"/>
          <a:lstStyle/>
          <a:p>
            <a:pPr algn="l" rtl="1">
              <a:defRPr sz="1000"/>
            </a:pPr>
            <a:r>
              <a:rPr lang="pt-BR" sz="1400" b="0" i="1" strike="noStrike">
                <a:solidFill>
                  <a:srgbClr val="000000"/>
                </a:solidFill>
                <a:latin typeface="Arial"/>
                <a:cs typeface="Arial"/>
              </a:rPr>
              <a:t>Estado do Rio Grande do Sul</a:t>
            </a:r>
          </a:p>
          <a:p>
            <a:pPr algn="l" rtl="1">
              <a:defRPr sz="1000"/>
            </a:pPr>
            <a:r>
              <a:rPr lang="pt-BR" sz="1800" b="1" i="0" strike="noStrike">
                <a:solidFill>
                  <a:srgbClr val="000000"/>
                </a:solidFill>
                <a:latin typeface="Arial"/>
                <a:cs typeface="Arial"/>
              </a:rPr>
              <a:t>PREFEITURA MUNICIPAL DE SÃO JERÔNIMO</a:t>
            </a:r>
          </a:p>
          <a:p>
            <a:pPr algn="l" rtl="1">
              <a:defRPr sz="1000"/>
            </a:pPr>
            <a:r>
              <a:rPr lang="pt-BR" sz="1200" b="0" i="1" strike="noStrike">
                <a:solidFill>
                  <a:srgbClr val="000000"/>
                </a:solidFill>
                <a:latin typeface="Arial"/>
                <a:cs typeface="Arial"/>
              </a:rPr>
              <a:t>          Secretaria</a:t>
            </a:r>
            <a:r>
              <a:rPr lang="pt-BR" sz="1200" b="0" i="1" strike="noStrike" baseline="0">
                <a:solidFill>
                  <a:srgbClr val="000000"/>
                </a:solidFill>
                <a:latin typeface="Arial"/>
                <a:cs typeface="Arial"/>
              </a:rPr>
              <a:t> Municipal de Educação</a:t>
            </a:r>
            <a:endParaRPr lang="pt-BR" sz="1200" b="0" i="1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endParaRPr lang="pt-BR" sz="12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19050</xdr:rowOff>
        </xdr:from>
        <xdr:to>
          <xdr:col>20</xdr:col>
          <xdr:colOff>0</xdr:colOff>
          <xdr:row>9</xdr:row>
          <xdr:rowOff>38100</xdr:rowOff>
        </xdr:to>
        <xdr:sp macro="" textlink="">
          <xdr:nvSpPr>
            <xdr:cNvPr id="11265" name="Drop-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=""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0</xdr:rowOff>
        </xdr:from>
        <xdr:to>
          <xdr:col>20</xdr:col>
          <xdr:colOff>0</xdr:colOff>
          <xdr:row>9</xdr:row>
          <xdr:rowOff>361950</xdr:rowOff>
        </xdr:to>
        <xdr:sp macro="" textlink="">
          <xdr:nvSpPr>
            <xdr:cNvPr id="11267" name="Drop-dow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=""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4</xdr:col>
      <xdr:colOff>152400</xdr:colOff>
      <xdr:row>0</xdr:row>
      <xdr:rowOff>923265</xdr:rowOff>
    </xdr:to>
    <xdr:grpSp>
      <xdr:nvGrpSpPr>
        <xdr:cNvPr id="8" name="Group 1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GrpSpPr>
          <a:grpSpLocks noChangeAspect="1"/>
        </xdr:cNvGrpSpPr>
      </xdr:nvGrpSpPr>
      <xdr:grpSpPr bwMode="auto">
        <a:xfrm>
          <a:off x="85725" y="95250"/>
          <a:ext cx="6416675" cy="828015"/>
          <a:chOff x="-154" y="-569"/>
          <a:chExt cx="749" cy="164"/>
        </a:xfrm>
      </xdr:grpSpPr>
      <xdr:pic>
        <xdr:nvPicPr>
          <xdr:cNvPr id="9" name="Picture 2" descr="BRASÃO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54" y="-569"/>
            <a:ext cx="98" cy="1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Text Box 3">
            <a:extLst>
              <a:ext uri="{FF2B5EF4-FFF2-40B4-BE49-F238E27FC236}">
                <a16:creationId xmlns=""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41" y="-556"/>
            <a:ext cx="636" cy="1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54864" tIns="41148" rIns="0" bIns="0" anchor="t" upright="1"/>
          <a:lstStyle/>
          <a:p>
            <a:pPr algn="l" rtl="1">
              <a:defRPr sz="1000"/>
            </a:pPr>
            <a:r>
              <a:rPr lang="pt-BR" sz="1400" b="0" i="1" strike="noStrike">
                <a:solidFill>
                  <a:srgbClr val="000000"/>
                </a:solidFill>
                <a:latin typeface="Arial"/>
                <a:cs typeface="Arial"/>
              </a:rPr>
              <a:t>Estado do Rio Grande do Sul</a:t>
            </a:r>
          </a:p>
          <a:p>
            <a:pPr algn="l" rtl="1">
              <a:defRPr sz="1000"/>
            </a:pPr>
            <a:r>
              <a:rPr lang="pt-BR" sz="1800" b="1" i="0" strike="noStrike">
                <a:solidFill>
                  <a:srgbClr val="000000"/>
                </a:solidFill>
                <a:latin typeface="Arial"/>
                <a:cs typeface="Arial"/>
              </a:rPr>
              <a:t>PREFEITURA MUNICIPAL DE SÃO JERÔNIMO</a:t>
            </a:r>
          </a:p>
          <a:p>
            <a:pPr algn="l" rtl="1">
              <a:defRPr sz="1000"/>
            </a:pPr>
            <a:r>
              <a:rPr lang="pt-BR" sz="1200" b="0" i="1" strike="noStrike">
                <a:solidFill>
                  <a:srgbClr val="000000"/>
                </a:solidFill>
                <a:latin typeface="Arial"/>
                <a:cs typeface="Arial"/>
              </a:rPr>
              <a:t>          Secretaria</a:t>
            </a:r>
            <a:r>
              <a:rPr lang="pt-BR" sz="1200" b="0" i="1" strike="noStrike" baseline="0">
                <a:solidFill>
                  <a:srgbClr val="000000"/>
                </a:solidFill>
                <a:latin typeface="Arial"/>
                <a:cs typeface="Arial"/>
              </a:rPr>
              <a:t> Municipal de Educação</a:t>
            </a:r>
            <a:endParaRPr lang="pt-BR" sz="1200" b="0" i="1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endParaRPr lang="pt-BR" sz="12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331932</xdr:colOff>
      <xdr:row>7</xdr:row>
      <xdr:rowOff>115454</xdr:rowOff>
    </xdr:from>
    <xdr:to>
      <xdr:col>16</xdr:col>
      <xdr:colOff>317500</xdr:colOff>
      <xdr:row>53</xdr:row>
      <xdr:rowOff>185375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205" y="2208068"/>
          <a:ext cx="7028295" cy="8700148"/>
        </a:xfrm>
        <a:prstGeom prst="rect">
          <a:avLst/>
        </a:prstGeom>
      </xdr:spPr>
    </xdr:pic>
    <xdr:clientData/>
  </xdr:twoCellAnchor>
  <xdr:twoCellAnchor>
    <xdr:from>
      <xdr:col>10</xdr:col>
      <xdr:colOff>110268</xdr:colOff>
      <xdr:row>52</xdr:row>
      <xdr:rowOff>136727</xdr:rowOff>
    </xdr:from>
    <xdr:to>
      <xdr:col>11</xdr:col>
      <xdr:colOff>26487</xdr:colOff>
      <xdr:row>54</xdr:row>
      <xdr:rowOff>12902</xdr:rowOff>
    </xdr:to>
    <xdr:sp macro="" textlink="">
      <xdr:nvSpPr>
        <xdr:cNvPr id="6" name="Seta para cima 5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/>
      </xdr:nvSpPr>
      <xdr:spPr>
        <a:xfrm>
          <a:off x="5545868" y="10817427"/>
          <a:ext cx="297219" cy="2571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24833</xdr:colOff>
      <xdr:row>52</xdr:row>
      <xdr:rowOff>104183</xdr:rowOff>
    </xdr:from>
    <xdr:to>
      <xdr:col>8</xdr:col>
      <xdr:colOff>320108</xdr:colOff>
      <xdr:row>53</xdr:row>
      <xdr:rowOff>170858</xdr:rowOff>
    </xdr:to>
    <xdr:sp macro="" textlink="">
      <xdr:nvSpPr>
        <xdr:cNvPr id="7" name="Seta para cima 6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4698433" y="10784883"/>
          <a:ext cx="295275" cy="2571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342900</xdr:colOff>
      <xdr:row>0</xdr:row>
      <xdr:rowOff>38100</xdr:rowOff>
    </xdr:from>
    <xdr:to>
      <xdr:col>1</xdr:col>
      <xdr:colOff>517845</xdr:colOff>
      <xdr:row>0</xdr:row>
      <xdr:rowOff>861131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0775" y="38100"/>
          <a:ext cx="755970" cy="823031"/>
        </a:xfrm>
        <a:prstGeom prst="rect">
          <a:avLst/>
        </a:prstGeom>
      </xdr:spPr>
    </xdr:pic>
    <xdr:clientData/>
  </xdr:twoCellAnchor>
  <xdr:twoCellAnchor>
    <xdr:from>
      <xdr:col>2</xdr:col>
      <xdr:colOff>346365</xdr:colOff>
      <xdr:row>0</xdr:row>
      <xdr:rowOff>158749</xdr:rowOff>
    </xdr:from>
    <xdr:to>
      <xdr:col>19</xdr:col>
      <xdr:colOff>145765</xdr:colOff>
      <xdr:row>0</xdr:row>
      <xdr:rowOff>921129</xdr:rowOff>
    </xdr:to>
    <xdr:sp macro="" textlink="">
      <xdr:nvSpPr>
        <xdr:cNvPr id="8" name="Text Box 3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500910" y="158749"/>
          <a:ext cx="7390537" cy="7623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54864" tIns="41148" rIns="0" bIns="0" anchor="t" upright="1"/>
        <a:lstStyle/>
        <a:p>
          <a:pPr algn="l" rtl="1">
            <a:defRPr sz="1000"/>
          </a:pPr>
          <a:r>
            <a:rPr lang="pt-BR" sz="1400" b="0" i="1" strike="noStrike">
              <a:solidFill>
                <a:srgbClr val="000000"/>
              </a:solidFill>
              <a:latin typeface="Arial"/>
              <a:cs typeface="Arial"/>
            </a:rPr>
            <a:t>Estado do Rio Grande do Sul</a:t>
          </a:r>
        </a:p>
        <a:p>
          <a:pPr algn="l" rtl="1">
            <a:defRPr sz="1000"/>
          </a:pPr>
          <a:r>
            <a:rPr lang="pt-BR" sz="1800" b="1" i="0" strike="noStrike">
              <a:solidFill>
                <a:srgbClr val="000000"/>
              </a:solidFill>
              <a:latin typeface="Arial"/>
              <a:cs typeface="Arial"/>
            </a:rPr>
            <a:t>PREFEITURA MUNICIPAL DE SÃO JERÔNIMO</a:t>
          </a:r>
        </a:p>
        <a:p>
          <a:pPr algn="l" rtl="1">
            <a:defRPr sz="1000"/>
          </a:pPr>
          <a:r>
            <a:rPr lang="pt-BR" sz="1200" b="0" i="1" strike="noStrike">
              <a:solidFill>
                <a:srgbClr val="000000"/>
              </a:solidFill>
              <a:latin typeface="Arial"/>
              <a:cs typeface="Arial"/>
            </a:rPr>
            <a:t>          Secretaria</a:t>
          </a:r>
          <a:r>
            <a:rPr lang="pt-BR" sz="1200" b="0" i="1" strike="noStrike" baseline="0">
              <a:solidFill>
                <a:srgbClr val="000000"/>
              </a:solidFill>
              <a:latin typeface="Arial"/>
              <a:cs typeface="Arial"/>
            </a:rPr>
            <a:t> Municipal de Educação</a:t>
          </a:r>
          <a:endParaRPr lang="pt-BR" sz="12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38100</xdr:rowOff>
    </xdr:from>
    <xdr:to>
      <xdr:col>1</xdr:col>
      <xdr:colOff>489270</xdr:colOff>
      <xdr:row>0</xdr:row>
      <xdr:rowOff>1099256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38100"/>
          <a:ext cx="755970" cy="823031"/>
        </a:xfrm>
        <a:prstGeom prst="rect">
          <a:avLst/>
        </a:prstGeom>
      </xdr:spPr>
    </xdr:pic>
    <xdr:clientData/>
  </xdr:twoCellAnchor>
  <xdr:twoCellAnchor>
    <xdr:from>
      <xdr:col>1</xdr:col>
      <xdr:colOff>590550</xdr:colOff>
      <xdr:row>0</xdr:row>
      <xdr:rowOff>190500</xdr:rowOff>
    </xdr:from>
    <xdr:to>
      <xdr:col>4</xdr:col>
      <xdr:colOff>371475</xdr:colOff>
      <xdr:row>0</xdr:row>
      <xdr:rowOff>952880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200150" y="190500"/>
          <a:ext cx="5876925" cy="7623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54864" tIns="41148" rIns="0" bIns="0" anchor="t" upright="1"/>
        <a:lstStyle/>
        <a:p>
          <a:pPr algn="l" rtl="1">
            <a:defRPr sz="1000"/>
          </a:pPr>
          <a:r>
            <a:rPr lang="pt-BR" sz="1400" b="0" i="1" strike="noStrike">
              <a:solidFill>
                <a:srgbClr val="000000"/>
              </a:solidFill>
              <a:latin typeface="Arial"/>
              <a:cs typeface="Arial"/>
            </a:rPr>
            <a:t>Estado do Rio Grande do Sul</a:t>
          </a:r>
        </a:p>
        <a:p>
          <a:pPr algn="l" rtl="1">
            <a:defRPr sz="1000"/>
          </a:pPr>
          <a:r>
            <a:rPr lang="pt-BR" sz="1800" b="1" i="0" strike="noStrike">
              <a:solidFill>
                <a:srgbClr val="000000"/>
              </a:solidFill>
              <a:latin typeface="Arial"/>
              <a:cs typeface="Arial"/>
            </a:rPr>
            <a:t>PREFEITURA MUNICIPAL DE SÃO JERÔNIMO</a:t>
          </a:r>
        </a:p>
        <a:p>
          <a:pPr algn="l" rtl="1">
            <a:defRPr sz="1000"/>
          </a:pPr>
          <a:r>
            <a:rPr lang="pt-BR" sz="1200" b="0" i="1" strike="noStrike">
              <a:solidFill>
                <a:srgbClr val="000000"/>
              </a:solidFill>
              <a:latin typeface="Arial"/>
              <a:cs typeface="Arial"/>
            </a:rPr>
            <a:t>          Secretaria</a:t>
          </a:r>
          <a:r>
            <a:rPr lang="pt-BR" sz="1200" b="0" i="1" strike="noStrike" baseline="0">
              <a:solidFill>
                <a:srgbClr val="000000"/>
              </a:solidFill>
              <a:latin typeface="Arial"/>
              <a:cs typeface="Arial"/>
            </a:rPr>
            <a:t> Municipal de Educação</a:t>
          </a:r>
          <a:endParaRPr lang="pt-BR" sz="12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ca&#231;&#227;o%20-%20PMSJ/Downloads/2017_PLANILHA%20encargos%20socia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3HH2KOB\Compartilhado\SECRETARIA\SALA%20CONSELHO\PLANILHA%20OR&#199;AMENTO%20SALA%20DO%20CONSE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- ENCARGOS MES"/>
      <sheetName val="Plan4"/>
      <sheetName val="ANEXO - ENCARGOS MES (2)"/>
    </sheetNames>
    <sheetDataSet>
      <sheetData sheetId="0"/>
      <sheetData sheetId="1">
        <row r="26">
          <cell r="B26">
            <v>1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01-ORÇAMENTO"/>
      <sheetName val="ANEXO 02-BDI"/>
      <sheetName val="ANEXO 03-CRONOGRAMA"/>
      <sheetName val="ANEXO 04- ENCARGOS SOCIAIS"/>
      <sheetName val="ANEXO 05- ITENS DE RELEVÂNCIA"/>
      <sheetName val="Plan4"/>
    </sheetNames>
    <sheetDataSet>
      <sheetData sheetId="0">
        <row r="16">
          <cell r="C16" t="str">
            <v>DESCRIMINAÇÃO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7"/>
  <sheetViews>
    <sheetView view="pageBreakPreview" topLeftCell="A351" zoomScaleNormal="100" zoomScaleSheetLayoutView="100" workbookViewId="0">
      <selection activeCell="F178" sqref="F178"/>
    </sheetView>
  </sheetViews>
  <sheetFormatPr defaultColWidth="8.85546875" defaultRowHeight="15" x14ac:dyDescent="0.2"/>
  <cols>
    <col min="1" max="1" width="5.7109375" style="32" customWidth="1"/>
    <col min="2" max="2" width="12.5703125" style="105" bestFit="1" customWidth="1"/>
    <col min="3" max="3" width="70.5703125" style="101" customWidth="1"/>
    <col min="4" max="4" width="6.7109375" style="95" customWidth="1"/>
    <col min="5" max="5" width="9.85546875" style="92" customWidth="1"/>
    <col min="6" max="6" width="14.85546875" style="87" customWidth="1"/>
    <col min="7" max="7" width="13.5703125" style="84" customWidth="1"/>
    <col min="8" max="8" width="16.7109375" style="410" customWidth="1"/>
    <col min="9" max="9" width="17.28515625" style="382" customWidth="1"/>
    <col min="10" max="10" width="14.140625" style="382" bestFit="1" customWidth="1"/>
    <col min="11" max="11" width="15.7109375" style="25" bestFit="1" customWidth="1"/>
    <col min="12" max="16384" width="8.85546875" style="25"/>
  </cols>
  <sheetData>
    <row r="1" spans="1:10" ht="80.099999999999994" customHeight="1" thickBot="1" x14ac:dyDescent="0.25">
      <c r="A1" s="30"/>
      <c r="B1" s="103"/>
      <c r="C1" s="99"/>
      <c r="D1" s="93"/>
      <c r="E1" s="91"/>
      <c r="F1" s="82"/>
      <c r="G1" s="82"/>
      <c r="H1" s="381"/>
    </row>
    <row r="2" spans="1:10" ht="18" x14ac:dyDescent="0.2">
      <c r="A2" s="196"/>
      <c r="B2" s="197"/>
      <c r="C2" s="198"/>
      <c r="D2" s="199"/>
      <c r="E2" s="200"/>
      <c r="F2" s="201"/>
      <c r="G2" s="201"/>
      <c r="H2" s="383"/>
      <c r="I2" s="384"/>
      <c r="J2" s="385"/>
    </row>
    <row r="3" spans="1:10" ht="18" x14ac:dyDescent="0.2">
      <c r="A3" s="885" t="s">
        <v>70</v>
      </c>
      <c r="B3" s="886"/>
      <c r="C3" s="886"/>
      <c r="D3" s="202"/>
      <c r="E3" s="203"/>
      <c r="F3" s="204"/>
      <c r="G3" s="204" t="s">
        <v>55</v>
      </c>
      <c r="H3" s="386"/>
      <c r="I3" s="387"/>
      <c r="J3" s="444"/>
    </row>
    <row r="4" spans="1:10" ht="5.0999999999999996" customHeight="1" x14ac:dyDescent="0.2">
      <c r="A4" s="439"/>
      <c r="B4" s="205"/>
      <c r="C4" s="206"/>
      <c r="D4" s="207"/>
      <c r="E4" s="203"/>
      <c r="F4" s="204"/>
      <c r="G4" s="208"/>
      <c r="H4" s="388"/>
      <c r="I4" s="387"/>
      <c r="J4" s="444"/>
    </row>
    <row r="5" spans="1:10" ht="15" customHeight="1" x14ac:dyDescent="0.2">
      <c r="A5" s="889" t="s">
        <v>83</v>
      </c>
      <c r="B5" s="890"/>
      <c r="C5" s="890"/>
      <c r="D5" s="207"/>
      <c r="E5" s="203"/>
      <c r="F5" s="204"/>
      <c r="G5" s="208"/>
      <c r="H5" s="388"/>
      <c r="I5" s="387"/>
      <c r="J5" s="444"/>
    </row>
    <row r="6" spans="1:10" ht="15" customHeight="1" x14ac:dyDescent="0.2">
      <c r="A6" s="891" t="s">
        <v>151</v>
      </c>
      <c r="B6" s="892"/>
      <c r="C6" s="892"/>
      <c r="D6" s="892"/>
      <c r="E6" s="892"/>
      <c r="F6" s="892"/>
      <c r="G6" s="892"/>
      <c r="H6" s="892"/>
      <c r="I6" s="387"/>
      <c r="J6" s="444"/>
    </row>
    <row r="7" spans="1:10" ht="15" customHeight="1" x14ac:dyDescent="0.2">
      <c r="A7" s="887" t="s">
        <v>152</v>
      </c>
      <c r="B7" s="888"/>
      <c r="C7" s="888"/>
      <c r="D7" s="888"/>
      <c r="E7" s="888"/>
      <c r="F7" s="888"/>
      <c r="G7" s="888"/>
      <c r="H7" s="888"/>
      <c r="I7" s="387"/>
      <c r="J7" s="444"/>
    </row>
    <row r="8" spans="1:10" ht="15" customHeight="1" x14ac:dyDescent="0.2">
      <c r="A8" s="440"/>
      <c r="B8" s="209"/>
      <c r="C8" s="206"/>
      <c r="D8" s="207"/>
      <c r="E8" s="203"/>
      <c r="F8" s="204"/>
      <c r="G8" s="208"/>
      <c r="H8" s="388"/>
      <c r="I8" s="387"/>
      <c r="J8" s="444"/>
    </row>
    <row r="9" spans="1:10" ht="15" customHeight="1" x14ac:dyDescent="0.2">
      <c r="A9" s="441"/>
      <c r="B9" s="206"/>
      <c r="C9" s="210" t="s">
        <v>84</v>
      </c>
      <c r="D9" s="211"/>
      <c r="E9" s="211">
        <f>'ANEXO 02-BDI'!F22/100</f>
        <v>0.25</v>
      </c>
      <c r="F9" s="212"/>
      <c r="G9" s="212"/>
      <c r="H9" s="388"/>
      <c r="I9" s="387"/>
      <c r="J9" s="444"/>
    </row>
    <row r="10" spans="1:10" ht="15" customHeight="1" x14ac:dyDescent="0.2">
      <c r="A10" s="893" t="s">
        <v>44</v>
      </c>
      <c r="B10" s="894"/>
      <c r="C10" s="894"/>
      <c r="D10" s="894"/>
      <c r="E10" s="894"/>
      <c r="F10" s="894"/>
      <c r="G10" s="894"/>
      <c r="H10" s="894"/>
      <c r="I10" s="387"/>
      <c r="J10" s="444"/>
    </row>
    <row r="11" spans="1:10" ht="15" customHeight="1" x14ac:dyDescent="0.2">
      <c r="A11" s="893" t="s">
        <v>570</v>
      </c>
      <c r="B11" s="894"/>
      <c r="C11" s="894"/>
      <c r="D11" s="894"/>
      <c r="E11" s="894"/>
      <c r="F11" s="894"/>
      <c r="G11" s="894"/>
      <c r="H11" s="894"/>
      <c r="I11" s="387"/>
      <c r="J11" s="444"/>
    </row>
    <row r="12" spans="1:10" ht="15" customHeight="1" x14ac:dyDescent="0.2">
      <c r="A12" s="893" t="s">
        <v>571</v>
      </c>
      <c r="B12" s="894"/>
      <c r="C12" s="894"/>
      <c r="D12" s="894"/>
      <c r="E12" s="894"/>
      <c r="F12" s="894"/>
      <c r="G12" s="894"/>
      <c r="H12" s="894"/>
      <c r="I12" s="387"/>
      <c r="J12" s="444"/>
    </row>
    <row r="13" spans="1:10" ht="15" customHeight="1" x14ac:dyDescent="0.2">
      <c r="A13" s="893" t="s">
        <v>97</v>
      </c>
      <c r="B13" s="894"/>
      <c r="C13" s="894"/>
      <c r="D13" s="894"/>
      <c r="E13" s="894"/>
      <c r="F13" s="894"/>
      <c r="G13" s="894"/>
      <c r="H13" s="894"/>
      <c r="I13" s="387"/>
      <c r="J13" s="444"/>
    </row>
    <row r="14" spans="1:10" ht="15" customHeight="1" x14ac:dyDescent="0.2">
      <c r="A14" s="893" t="s">
        <v>92</v>
      </c>
      <c r="B14" s="894"/>
      <c r="C14" s="894"/>
      <c r="D14" s="894"/>
      <c r="E14" s="894"/>
      <c r="F14" s="894"/>
      <c r="G14" s="894"/>
      <c r="H14" s="894"/>
      <c r="I14" s="387"/>
      <c r="J14" s="444"/>
    </row>
    <row r="15" spans="1:10" ht="15" customHeight="1" thickBot="1" x14ac:dyDescent="0.25">
      <c r="A15" s="442"/>
      <c r="B15" s="213"/>
      <c r="C15" s="214"/>
      <c r="D15" s="215"/>
      <c r="E15" s="216"/>
      <c r="F15" s="217"/>
      <c r="G15" s="218"/>
      <c r="H15" s="389"/>
      <c r="I15" s="443"/>
      <c r="J15" s="445"/>
    </row>
    <row r="16" spans="1:10" s="35" customFormat="1" ht="39" thickBot="1" x14ac:dyDescent="0.25">
      <c r="A16" s="419" t="s">
        <v>45</v>
      </c>
      <c r="B16" s="219" t="s">
        <v>48</v>
      </c>
      <c r="C16" s="220" t="s">
        <v>49</v>
      </c>
      <c r="D16" s="446" t="s">
        <v>50</v>
      </c>
      <c r="E16" s="447" t="s">
        <v>46</v>
      </c>
      <c r="F16" s="448" t="s">
        <v>51</v>
      </c>
      <c r="G16" s="448" t="s">
        <v>52</v>
      </c>
      <c r="H16" s="379" t="s">
        <v>53</v>
      </c>
      <c r="I16" s="575" t="s">
        <v>364</v>
      </c>
      <c r="J16" s="449" t="s">
        <v>100</v>
      </c>
    </row>
    <row r="17" spans="1:11" s="35" customFormat="1" ht="12.75" customHeight="1" x14ac:dyDescent="0.2">
      <c r="A17" s="421"/>
      <c r="B17" s="193"/>
      <c r="C17" s="193" t="s">
        <v>458</v>
      </c>
      <c r="D17" s="193"/>
      <c r="E17" s="194"/>
      <c r="F17" s="195"/>
      <c r="G17" s="195"/>
      <c r="H17" s="394"/>
      <c r="I17" s="395"/>
      <c r="J17" s="416"/>
      <c r="K17" s="243"/>
    </row>
    <row r="18" spans="1:11" s="35" customFormat="1" ht="18.75" customHeight="1" x14ac:dyDescent="0.2">
      <c r="A18" s="421" t="s">
        <v>89</v>
      </c>
      <c r="B18" s="193"/>
      <c r="C18" s="193" t="s">
        <v>459</v>
      </c>
      <c r="D18" s="193"/>
      <c r="E18" s="194"/>
      <c r="F18" s="195"/>
      <c r="G18" s="195"/>
      <c r="H18" s="394"/>
      <c r="I18" s="584"/>
      <c r="J18" s="416"/>
      <c r="K18" s="142"/>
    </row>
    <row r="19" spans="1:11" s="35" customFormat="1" ht="41.25" customHeight="1" x14ac:dyDescent="0.2">
      <c r="A19" s="222" t="s">
        <v>230</v>
      </c>
      <c r="B19" s="253">
        <v>92775</v>
      </c>
      <c r="C19" s="256" t="s">
        <v>181</v>
      </c>
      <c r="D19" s="257" t="s">
        <v>113</v>
      </c>
      <c r="E19" s="184">
        <v>29.56</v>
      </c>
      <c r="F19" s="185">
        <v>17.91</v>
      </c>
      <c r="G19" s="186">
        <f>(F19*$E$9)+F19</f>
        <v>22.39</v>
      </c>
      <c r="H19" s="576">
        <f>E19*G19</f>
        <v>661.85</v>
      </c>
      <c r="I19" s="376">
        <f>H19*65%</f>
        <v>430.2</v>
      </c>
      <c r="J19" s="376">
        <f>H19*35%</f>
        <v>231.65</v>
      </c>
      <c r="K19" s="312">
        <f>(J19+I19)</f>
        <v>661.85</v>
      </c>
    </row>
    <row r="20" spans="1:11" s="35" customFormat="1" ht="38.25" x14ac:dyDescent="0.2">
      <c r="A20" s="222" t="s">
        <v>231</v>
      </c>
      <c r="B20" s="253">
        <v>92776</v>
      </c>
      <c r="C20" s="259" t="s">
        <v>183</v>
      </c>
      <c r="D20" s="257" t="s">
        <v>113</v>
      </c>
      <c r="E20" s="184">
        <v>47.04</v>
      </c>
      <c r="F20" s="185">
        <v>16.7</v>
      </c>
      <c r="G20" s="186">
        <f>(F20*$E$9)+F20</f>
        <v>20.88</v>
      </c>
      <c r="H20" s="576">
        <f>E20*G20</f>
        <v>982.2</v>
      </c>
      <c r="I20" s="376">
        <f>H20*65%</f>
        <v>638.42999999999995</v>
      </c>
      <c r="J20" s="376">
        <f>H20*35%</f>
        <v>343.77</v>
      </c>
      <c r="K20" s="312">
        <f>(J20+I20)</f>
        <v>982.2</v>
      </c>
    </row>
    <row r="21" spans="1:11" s="35" customFormat="1" ht="12.95" customHeight="1" x14ac:dyDescent="0.2">
      <c r="A21" s="222" t="s">
        <v>232</v>
      </c>
      <c r="B21" s="253">
        <v>94964</v>
      </c>
      <c r="C21" s="259" t="s">
        <v>177</v>
      </c>
      <c r="D21" s="257" t="s">
        <v>82</v>
      </c>
      <c r="E21" s="184">
        <v>1.06</v>
      </c>
      <c r="F21" s="185">
        <v>399.44</v>
      </c>
      <c r="G21" s="186">
        <f>(F21*$E$9)+F21</f>
        <v>499.3</v>
      </c>
      <c r="H21" s="576">
        <f>E21*G21</f>
        <v>529.26</v>
      </c>
      <c r="I21" s="376">
        <f>H21*65%</f>
        <v>344.02</v>
      </c>
      <c r="J21" s="376">
        <f>H21*35%</f>
        <v>185.24</v>
      </c>
      <c r="K21" s="312">
        <f>(J21+I21)</f>
        <v>529.26</v>
      </c>
    </row>
    <row r="22" spans="1:11" s="35" customFormat="1" ht="18.75" customHeight="1" x14ac:dyDescent="0.2">
      <c r="A22" s="222"/>
      <c r="B22" s="253"/>
      <c r="C22" s="342" t="s">
        <v>362</v>
      </c>
      <c r="D22" s="899"/>
      <c r="E22" s="900"/>
      <c r="F22" s="900"/>
      <c r="G22" s="901"/>
      <c r="H22" s="403">
        <f>SUM(H19:H21)</f>
        <v>2173.31</v>
      </c>
      <c r="I22" s="418">
        <f>SUM(I19:I21)</f>
        <v>1412.65</v>
      </c>
      <c r="J22" s="418">
        <f>SUM(J19:J21)</f>
        <v>760.66</v>
      </c>
      <c r="K22" s="312">
        <f>(J22+I22)</f>
        <v>2173.31</v>
      </c>
    </row>
    <row r="23" spans="1:11" s="35" customFormat="1" ht="12.75" customHeight="1" x14ac:dyDescent="0.2">
      <c r="A23" s="421"/>
      <c r="B23" s="193"/>
      <c r="C23" s="908" t="s">
        <v>462</v>
      </c>
      <c r="D23" s="908"/>
      <c r="E23" s="194"/>
      <c r="F23" s="195"/>
      <c r="G23" s="195"/>
      <c r="H23" s="394"/>
      <c r="I23" s="584"/>
      <c r="J23" s="416"/>
      <c r="K23" s="243"/>
    </row>
    <row r="24" spans="1:11" s="35" customFormat="1" ht="18" customHeight="1" x14ac:dyDescent="0.2">
      <c r="A24" s="421" t="s">
        <v>98</v>
      </c>
      <c r="B24" s="193"/>
      <c r="C24" s="193" t="s">
        <v>376</v>
      </c>
      <c r="D24" s="193"/>
      <c r="E24" s="194"/>
      <c r="F24" s="195"/>
      <c r="G24" s="195"/>
      <c r="H24" s="394"/>
      <c r="I24" s="395"/>
      <c r="J24" s="416"/>
      <c r="K24" s="142"/>
    </row>
    <row r="25" spans="1:11" s="35" customFormat="1" ht="43.5" customHeight="1" x14ac:dyDescent="0.2">
      <c r="A25" s="222" t="s">
        <v>233</v>
      </c>
      <c r="B25" s="253">
        <v>94964</v>
      </c>
      <c r="C25" s="259" t="s">
        <v>177</v>
      </c>
      <c r="D25" s="257" t="s">
        <v>82</v>
      </c>
      <c r="E25" s="184">
        <v>0.38</v>
      </c>
      <c r="F25" s="185">
        <v>399.44</v>
      </c>
      <c r="G25" s="258">
        <f t="shared" ref="G25:G31" si="0">(F25*$E$9)+F25</f>
        <v>499.3</v>
      </c>
      <c r="H25" s="576">
        <f t="shared" ref="H25:H31" si="1">E25*G25</f>
        <v>189.73</v>
      </c>
      <c r="I25" s="376">
        <f>H25*65%</f>
        <v>123.32</v>
      </c>
      <c r="J25" s="376">
        <f>H25*35%</f>
        <v>66.41</v>
      </c>
      <c r="K25" s="142">
        <f>(J25+I25)</f>
        <v>189.73</v>
      </c>
    </row>
    <row r="26" spans="1:11" s="35" customFormat="1" ht="21" customHeight="1" x14ac:dyDescent="0.2">
      <c r="A26" s="222" t="s">
        <v>234</v>
      </c>
      <c r="B26" s="253">
        <v>96622</v>
      </c>
      <c r="C26" s="251" t="s">
        <v>170</v>
      </c>
      <c r="D26" s="255" t="s">
        <v>82</v>
      </c>
      <c r="E26" s="260">
        <v>0.38</v>
      </c>
      <c r="F26" s="261">
        <v>104.87</v>
      </c>
      <c r="G26" s="262">
        <f t="shared" si="0"/>
        <v>131.09</v>
      </c>
      <c r="H26" s="576">
        <f t="shared" si="1"/>
        <v>49.81</v>
      </c>
      <c r="I26" s="376">
        <f>H26*65%</f>
        <v>32.380000000000003</v>
      </c>
      <c r="J26" s="376">
        <f>H26*35%</f>
        <v>17.43</v>
      </c>
      <c r="K26" s="142">
        <f>(J26+I26)</f>
        <v>49.81</v>
      </c>
    </row>
    <row r="27" spans="1:11" s="35" customFormat="1" ht="24" customHeight="1" x14ac:dyDescent="0.2">
      <c r="A27" s="222" t="s">
        <v>235</v>
      </c>
      <c r="B27" s="253">
        <v>96536</v>
      </c>
      <c r="C27" s="251" t="s">
        <v>171</v>
      </c>
      <c r="D27" s="255" t="s">
        <v>76</v>
      </c>
      <c r="E27" s="223">
        <v>1.27</v>
      </c>
      <c r="F27" s="190">
        <v>58.49</v>
      </c>
      <c r="G27" s="263">
        <f t="shared" si="0"/>
        <v>73.11</v>
      </c>
      <c r="H27" s="577">
        <f t="shared" si="1"/>
        <v>92.85</v>
      </c>
      <c r="I27" s="376">
        <f>H27*65%</f>
        <v>60.35</v>
      </c>
      <c r="J27" s="452">
        <f>H27*35%</f>
        <v>32.5</v>
      </c>
      <c r="K27" s="142">
        <f>(J27+I27)</f>
        <v>92.85</v>
      </c>
    </row>
    <row r="28" spans="1:11" s="35" customFormat="1" ht="15" customHeight="1" x14ac:dyDescent="0.2">
      <c r="A28" s="222" t="s">
        <v>236</v>
      </c>
      <c r="B28" s="253">
        <v>92775</v>
      </c>
      <c r="C28" s="256" t="s">
        <v>173</v>
      </c>
      <c r="D28" s="257" t="s">
        <v>113</v>
      </c>
      <c r="E28" s="184">
        <v>5.54</v>
      </c>
      <c r="F28" s="185">
        <v>17.91</v>
      </c>
      <c r="G28" s="186">
        <f t="shared" si="0"/>
        <v>22.39</v>
      </c>
      <c r="H28" s="576">
        <f t="shared" si="1"/>
        <v>124.04</v>
      </c>
      <c r="I28" s="376">
        <f>H28*65%</f>
        <v>80.63</v>
      </c>
      <c r="J28" s="376">
        <f>H28*35%</f>
        <v>43.41</v>
      </c>
      <c r="K28" s="142">
        <f>(J28+I28)</f>
        <v>124.04</v>
      </c>
    </row>
    <row r="29" spans="1:11" s="35" customFormat="1" ht="18.75" customHeight="1" x14ac:dyDescent="0.2">
      <c r="A29" s="222" t="s">
        <v>237</v>
      </c>
      <c r="B29" s="253">
        <v>92777</v>
      </c>
      <c r="C29" s="259" t="s">
        <v>176</v>
      </c>
      <c r="D29" s="257" t="s">
        <v>113</v>
      </c>
      <c r="E29" s="184">
        <v>14.22</v>
      </c>
      <c r="F29" s="185">
        <v>15.52</v>
      </c>
      <c r="G29" s="186">
        <f t="shared" si="0"/>
        <v>19.399999999999999</v>
      </c>
      <c r="H29" s="576">
        <f t="shared" si="1"/>
        <v>275.87</v>
      </c>
      <c r="I29" s="376">
        <f>(H29*65%)</f>
        <v>179.32</v>
      </c>
      <c r="J29" s="376">
        <f>(H29*35%)</f>
        <v>96.55</v>
      </c>
      <c r="K29" s="142">
        <f>(J29+I29)</f>
        <v>275.87</v>
      </c>
    </row>
    <row r="30" spans="1:11" s="35" customFormat="1" ht="54" customHeight="1" x14ac:dyDescent="0.2">
      <c r="A30" s="222" t="s">
        <v>238</v>
      </c>
      <c r="B30" s="253">
        <v>89283</v>
      </c>
      <c r="C30" s="259" t="s">
        <v>190</v>
      </c>
      <c r="D30" s="257" t="s">
        <v>76</v>
      </c>
      <c r="E30" s="184">
        <v>12.75</v>
      </c>
      <c r="F30" s="185">
        <v>72.11</v>
      </c>
      <c r="G30" s="186">
        <f t="shared" si="0"/>
        <v>90.14</v>
      </c>
      <c r="H30" s="576">
        <f t="shared" si="1"/>
        <v>1149.29</v>
      </c>
      <c r="I30" s="376">
        <f>H30*65%</f>
        <v>747.04</v>
      </c>
      <c r="J30" s="376">
        <f>H30*35%</f>
        <v>402.25</v>
      </c>
      <c r="K30" s="142">
        <f>(J30+I30)</f>
        <v>1149.29</v>
      </c>
    </row>
    <row r="31" spans="1:11" s="35" customFormat="1" ht="12.95" customHeight="1" x14ac:dyDescent="0.2">
      <c r="A31" s="222" t="s">
        <v>511</v>
      </c>
      <c r="B31" s="253">
        <v>94304</v>
      </c>
      <c r="C31" s="259" t="s">
        <v>179</v>
      </c>
      <c r="D31" s="257" t="s">
        <v>82</v>
      </c>
      <c r="E31" s="184">
        <v>23</v>
      </c>
      <c r="F31" s="185">
        <v>62.23</v>
      </c>
      <c r="G31" s="186">
        <f t="shared" si="0"/>
        <v>77.790000000000006</v>
      </c>
      <c r="H31" s="576">
        <f t="shared" si="1"/>
        <v>1789.17</v>
      </c>
      <c r="I31" s="376">
        <f>H31*65%</f>
        <v>1162.96</v>
      </c>
      <c r="J31" s="376">
        <f>H31*35%</f>
        <v>626.21</v>
      </c>
      <c r="K31" s="142">
        <f>(J31+I31)</f>
        <v>1789.17</v>
      </c>
    </row>
    <row r="32" spans="1:11" s="35" customFormat="1" ht="18" customHeight="1" x14ac:dyDescent="0.2">
      <c r="A32" s="330"/>
      <c r="B32" s="334"/>
      <c r="C32" s="341" t="s">
        <v>362</v>
      </c>
      <c r="D32" s="899"/>
      <c r="E32" s="900"/>
      <c r="F32" s="900"/>
      <c r="G32" s="901"/>
      <c r="H32" s="403">
        <f>SUM(H25:H31)</f>
        <v>3670.76</v>
      </c>
      <c r="I32" s="418">
        <f>SUM(I25:I31)</f>
        <v>2386</v>
      </c>
      <c r="J32" s="451">
        <f>SUM(J25:J31)</f>
        <v>1284.76</v>
      </c>
      <c r="K32" s="142">
        <f>(J32+I32)</f>
        <v>3670.76</v>
      </c>
    </row>
    <row r="33" spans="1:11" s="35" customFormat="1" ht="15" customHeight="1" x14ac:dyDescent="0.2">
      <c r="A33" s="421" t="s">
        <v>239</v>
      </c>
      <c r="B33" s="193"/>
      <c r="C33" s="193" t="s">
        <v>572</v>
      </c>
      <c r="D33" s="193"/>
      <c r="E33" s="194"/>
      <c r="F33" s="195"/>
      <c r="G33" s="195"/>
      <c r="H33" s="394"/>
      <c r="I33" s="395"/>
      <c r="J33" s="416"/>
      <c r="K33" s="142"/>
    </row>
    <row r="34" spans="1:11" s="35" customFormat="1" ht="42" customHeight="1" x14ac:dyDescent="0.2">
      <c r="A34" s="222" t="s">
        <v>240</v>
      </c>
      <c r="B34" s="253">
        <v>94964</v>
      </c>
      <c r="C34" s="259" t="s">
        <v>177</v>
      </c>
      <c r="D34" s="257" t="s">
        <v>82</v>
      </c>
      <c r="E34" s="184">
        <v>0.65</v>
      </c>
      <c r="F34" s="185">
        <v>399.44</v>
      </c>
      <c r="G34" s="186">
        <f>(F34*$E$9)+F34</f>
        <v>499.3</v>
      </c>
      <c r="H34" s="576">
        <f>E34*G34</f>
        <v>324.55</v>
      </c>
      <c r="I34" s="376">
        <f>H34*65%</f>
        <v>210.96</v>
      </c>
      <c r="J34" s="376">
        <f>H34*35%</f>
        <v>113.59</v>
      </c>
      <c r="K34" s="312">
        <f>(J34+I34)</f>
        <v>324.55</v>
      </c>
    </row>
    <row r="35" spans="1:11" s="35" customFormat="1" ht="42.75" customHeight="1" x14ac:dyDescent="0.2">
      <c r="A35" s="222" t="s">
        <v>241</v>
      </c>
      <c r="B35" s="253">
        <v>92775</v>
      </c>
      <c r="C35" s="256" t="s">
        <v>181</v>
      </c>
      <c r="D35" s="257" t="s">
        <v>113</v>
      </c>
      <c r="E35" s="184">
        <v>16.62</v>
      </c>
      <c r="F35" s="185">
        <v>17.91</v>
      </c>
      <c r="G35" s="186">
        <f>(F35*$E$9)+F35</f>
        <v>22.39</v>
      </c>
      <c r="H35" s="576">
        <f>E35*G35</f>
        <v>372.12</v>
      </c>
      <c r="I35" s="376">
        <f>H35*65%</f>
        <v>241.88</v>
      </c>
      <c r="J35" s="376">
        <f>H35*35%</f>
        <v>130.24</v>
      </c>
      <c r="K35" s="312">
        <f>(J35+I35)</f>
        <v>372.12</v>
      </c>
    </row>
    <row r="36" spans="1:11" s="35" customFormat="1" ht="44.25" customHeight="1" x14ac:dyDescent="0.2">
      <c r="A36" s="222" t="s">
        <v>242</v>
      </c>
      <c r="B36" s="253">
        <v>92777</v>
      </c>
      <c r="C36" s="259" t="s">
        <v>182</v>
      </c>
      <c r="D36" s="257" t="s">
        <v>113</v>
      </c>
      <c r="E36" s="184">
        <v>9.48</v>
      </c>
      <c r="F36" s="185">
        <v>15.52</v>
      </c>
      <c r="G36" s="186">
        <f>(F36*$E$9)+F36</f>
        <v>19.399999999999999</v>
      </c>
      <c r="H36" s="576">
        <f>E36*G36</f>
        <v>183.91</v>
      </c>
      <c r="I36" s="376">
        <f>H36*65%</f>
        <v>119.54</v>
      </c>
      <c r="J36" s="376">
        <f>H36*35%</f>
        <v>64.37</v>
      </c>
      <c r="K36" s="312">
        <f>(J36+I36)</f>
        <v>183.91</v>
      </c>
    </row>
    <row r="37" spans="1:11" s="35" customFormat="1" ht="12.95" customHeight="1" x14ac:dyDescent="0.2">
      <c r="A37" s="222" t="s">
        <v>243</v>
      </c>
      <c r="B37" s="253">
        <v>92776</v>
      </c>
      <c r="C37" s="259" t="s">
        <v>183</v>
      </c>
      <c r="D37" s="257" t="s">
        <v>113</v>
      </c>
      <c r="E37" s="184">
        <v>20.58</v>
      </c>
      <c r="F37" s="185">
        <v>16.7</v>
      </c>
      <c r="G37" s="186">
        <f>(F37*$E$9)+F37</f>
        <v>20.88</v>
      </c>
      <c r="H37" s="576">
        <f>E37*G37</f>
        <v>429.71</v>
      </c>
      <c r="I37" s="376">
        <f>H37*65%</f>
        <v>279.31</v>
      </c>
      <c r="J37" s="376">
        <f>H37*35%</f>
        <v>150.4</v>
      </c>
      <c r="K37" s="312">
        <f>(J37+I37)</f>
        <v>429.71</v>
      </c>
    </row>
    <row r="38" spans="1:11" s="35" customFormat="1" ht="17.25" customHeight="1" x14ac:dyDescent="0.2">
      <c r="A38" s="330"/>
      <c r="B38" s="334"/>
      <c r="C38" s="341" t="s">
        <v>362</v>
      </c>
      <c r="D38" s="899"/>
      <c r="E38" s="900"/>
      <c r="F38" s="900"/>
      <c r="G38" s="901"/>
      <c r="H38" s="403">
        <f>SUM(H34:H37)</f>
        <v>1310.29</v>
      </c>
      <c r="I38" s="418">
        <f>SUM(I34:I37)</f>
        <v>851.69</v>
      </c>
      <c r="J38" s="451">
        <f>SUM(J34:J37)</f>
        <v>458.6</v>
      </c>
      <c r="K38" s="312">
        <f>(J38+I38)</f>
        <v>1310.29</v>
      </c>
    </row>
    <row r="39" spans="1:11" s="35" customFormat="1" ht="18.75" customHeight="1" x14ac:dyDescent="0.2">
      <c r="A39" s="421" t="s">
        <v>512</v>
      </c>
      <c r="B39" s="193"/>
      <c r="C39" s="193" t="s">
        <v>360</v>
      </c>
      <c r="D39" s="193"/>
      <c r="E39" s="194"/>
      <c r="F39" s="195"/>
      <c r="G39" s="195"/>
      <c r="H39" s="394"/>
      <c r="I39" s="395"/>
      <c r="J39" s="416"/>
      <c r="K39" s="142"/>
    </row>
    <row r="40" spans="1:11" s="35" customFormat="1" ht="41.25" customHeight="1" x14ac:dyDescent="0.2">
      <c r="A40" s="222" t="s">
        <v>513</v>
      </c>
      <c r="B40" s="253">
        <v>92775</v>
      </c>
      <c r="C40" s="256" t="s">
        <v>181</v>
      </c>
      <c r="D40" s="257" t="s">
        <v>113</v>
      </c>
      <c r="E40" s="184">
        <v>16.63</v>
      </c>
      <c r="F40" s="185">
        <v>17.91</v>
      </c>
      <c r="G40" s="186">
        <f>(F40*$E$9)+F40</f>
        <v>22.39</v>
      </c>
      <c r="H40" s="576">
        <f>E40*G40</f>
        <v>372.35</v>
      </c>
      <c r="I40" s="376">
        <f>H40*65%</f>
        <v>242.03</v>
      </c>
      <c r="J40" s="376">
        <f>H40*35%</f>
        <v>130.32</v>
      </c>
      <c r="K40" s="312">
        <f>(J40+I40)</f>
        <v>372.35</v>
      </c>
    </row>
    <row r="41" spans="1:11" s="35" customFormat="1" ht="38.25" x14ac:dyDescent="0.2">
      <c r="A41" s="222" t="s">
        <v>514</v>
      </c>
      <c r="B41" s="253">
        <v>92776</v>
      </c>
      <c r="C41" s="259" t="s">
        <v>183</v>
      </c>
      <c r="D41" s="257" t="s">
        <v>113</v>
      </c>
      <c r="E41" s="184">
        <v>26.46</v>
      </c>
      <c r="F41" s="185">
        <v>16.7</v>
      </c>
      <c r="G41" s="186">
        <f>(F41*$E$9)+F41</f>
        <v>20.88</v>
      </c>
      <c r="H41" s="576">
        <f>E41*G41</f>
        <v>552.48</v>
      </c>
      <c r="I41" s="376">
        <f>H41*65%</f>
        <v>359.11</v>
      </c>
      <c r="J41" s="376">
        <f>H41*35%</f>
        <v>193.37</v>
      </c>
      <c r="K41" s="312">
        <f>(J41+I41)</f>
        <v>552.48</v>
      </c>
    </row>
    <row r="42" spans="1:11" s="35" customFormat="1" ht="12.95" customHeight="1" x14ac:dyDescent="0.2">
      <c r="A42" s="222" t="s">
        <v>515</v>
      </c>
      <c r="B42" s="253">
        <v>94964</v>
      </c>
      <c r="C42" s="259" t="s">
        <v>177</v>
      </c>
      <c r="D42" s="257" t="s">
        <v>82</v>
      </c>
      <c r="E42" s="184">
        <v>0.55000000000000004</v>
      </c>
      <c r="F42" s="185">
        <v>399.44</v>
      </c>
      <c r="G42" s="186">
        <f>(F42*$E$9)+F42</f>
        <v>499.3</v>
      </c>
      <c r="H42" s="576">
        <f>E42*G42</f>
        <v>274.62</v>
      </c>
      <c r="I42" s="376">
        <f>H42*65%</f>
        <v>178.5</v>
      </c>
      <c r="J42" s="376">
        <f>H42*35%</f>
        <v>96.12</v>
      </c>
      <c r="K42" s="312">
        <f>(J42+I42)</f>
        <v>274.62</v>
      </c>
    </row>
    <row r="43" spans="1:11" s="35" customFormat="1" ht="18.75" customHeight="1" x14ac:dyDescent="0.2">
      <c r="A43" s="222"/>
      <c r="B43" s="253"/>
      <c r="C43" s="342" t="s">
        <v>362</v>
      </c>
      <c r="D43" s="899"/>
      <c r="E43" s="900"/>
      <c r="F43" s="900"/>
      <c r="G43" s="901"/>
      <c r="H43" s="403">
        <f>SUM(H40:H42)</f>
        <v>1199.45</v>
      </c>
      <c r="I43" s="418">
        <f>SUM(I40:I42)</f>
        <v>779.64</v>
      </c>
      <c r="J43" s="418">
        <f>SUM(J40:J42)</f>
        <v>419.81</v>
      </c>
      <c r="K43" s="312">
        <f>(J43+I43)</f>
        <v>1199.45</v>
      </c>
    </row>
    <row r="44" spans="1:11" s="35" customFormat="1" ht="12.75" x14ac:dyDescent="0.2">
      <c r="A44" s="420"/>
      <c r="B44" s="325"/>
      <c r="C44" s="326" t="s">
        <v>377</v>
      </c>
      <c r="D44" s="326"/>
      <c r="E44" s="327"/>
      <c r="F44" s="328"/>
      <c r="G44" s="328"/>
      <c r="H44" s="573"/>
      <c r="I44" s="574"/>
      <c r="J44" s="574"/>
    </row>
    <row r="45" spans="1:11" s="35" customFormat="1" ht="12.75" x14ac:dyDescent="0.2">
      <c r="A45" s="421" t="s">
        <v>244</v>
      </c>
      <c r="B45" s="193"/>
      <c r="C45" s="193" t="s">
        <v>371</v>
      </c>
      <c r="D45" s="193"/>
      <c r="E45" s="194"/>
      <c r="F45" s="195"/>
      <c r="G45" s="195"/>
      <c r="H45" s="394"/>
      <c r="I45" s="456"/>
      <c r="J45" s="456"/>
      <c r="K45" s="240"/>
    </row>
    <row r="46" spans="1:11" s="35" customFormat="1" ht="23.25" customHeight="1" x14ac:dyDescent="0.2">
      <c r="A46" s="222" t="s">
        <v>246</v>
      </c>
      <c r="B46" s="250">
        <v>100899</v>
      </c>
      <c r="C46" s="252" t="s">
        <v>168</v>
      </c>
      <c r="D46" s="222" t="s">
        <v>81</v>
      </c>
      <c r="E46" s="223">
        <v>7.5</v>
      </c>
      <c r="F46" s="190">
        <v>76.03</v>
      </c>
      <c r="G46" s="186">
        <f>(F46*$E$9)+F46</f>
        <v>95.04</v>
      </c>
      <c r="H46" s="380">
        <f>E46*G46</f>
        <v>712.8</v>
      </c>
      <c r="I46" s="390">
        <f>(H46*65%)</f>
        <v>463.32</v>
      </c>
      <c r="J46" s="376">
        <f>(H46*35%)</f>
        <v>249.48</v>
      </c>
      <c r="K46" s="312">
        <f>(J46+I46)</f>
        <v>712.8</v>
      </c>
    </row>
    <row r="47" spans="1:11" s="35" customFormat="1" ht="30" customHeight="1" x14ac:dyDescent="0.2">
      <c r="A47" s="229" t="s">
        <v>516</v>
      </c>
      <c r="B47" s="253">
        <v>92777</v>
      </c>
      <c r="C47" s="254" t="s">
        <v>169</v>
      </c>
      <c r="D47" s="229" t="s">
        <v>113</v>
      </c>
      <c r="E47" s="189">
        <v>47.4</v>
      </c>
      <c r="F47" s="230">
        <v>15.52</v>
      </c>
      <c r="G47" s="186">
        <f>(F47*$E$9)+F47</f>
        <v>19.399999999999999</v>
      </c>
      <c r="H47" s="380">
        <f>(E47*G47)</f>
        <v>919.56</v>
      </c>
      <c r="I47" s="391">
        <f>(H47*65%)</f>
        <v>597.71</v>
      </c>
      <c r="J47" s="450">
        <f>(H47*35%)</f>
        <v>321.85000000000002</v>
      </c>
      <c r="K47" s="312">
        <f>(J47+I47)</f>
        <v>919.56</v>
      </c>
    </row>
    <row r="48" spans="1:11" s="35" customFormat="1" ht="39" customHeight="1" x14ac:dyDescent="0.2">
      <c r="A48" s="229" t="s">
        <v>517</v>
      </c>
      <c r="B48" s="253">
        <v>94964</v>
      </c>
      <c r="C48" s="254" t="s">
        <v>167</v>
      </c>
      <c r="D48" s="229" t="s">
        <v>82</v>
      </c>
      <c r="E48" s="189">
        <v>1.5</v>
      </c>
      <c r="F48" s="230">
        <v>399.44</v>
      </c>
      <c r="G48" s="186">
        <f>(F48*$E$9)+F48</f>
        <v>499.3</v>
      </c>
      <c r="H48" s="380">
        <f>(E48*G48)</f>
        <v>748.95</v>
      </c>
      <c r="I48" s="391">
        <f>(H48*65%)</f>
        <v>486.82</v>
      </c>
      <c r="J48" s="450">
        <f>(H48*35%)</f>
        <v>262.13</v>
      </c>
      <c r="K48" s="312">
        <f>(J48+I48)</f>
        <v>748.95</v>
      </c>
    </row>
    <row r="49" spans="1:12" s="35" customFormat="1" ht="12.95" customHeight="1" x14ac:dyDescent="0.2">
      <c r="A49" s="572"/>
      <c r="B49" s="334"/>
      <c r="C49" s="338" t="s">
        <v>362</v>
      </c>
      <c r="D49" s="921"/>
      <c r="E49" s="922"/>
      <c r="F49" s="922"/>
      <c r="G49" s="923"/>
      <c r="H49" s="398">
        <f>SUM(H46:H48)</f>
        <v>2381.31</v>
      </c>
      <c r="I49" s="418">
        <f>SUM(I46:I48)</f>
        <v>1547.85</v>
      </c>
      <c r="J49" s="418">
        <f>SUM(J46:J48)</f>
        <v>833.46</v>
      </c>
      <c r="K49" s="312">
        <f>(J49+I49)</f>
        <v>2381.31</v>
      </c>
    </row>
    <row r="50" spans="1:12" s="35" customFormat="1" ht="11.25" customHeight="1" x14ac:dyDescent="0.2">
      <c r="A50" s="422" t="s">
        <v>247</v>
      </c>
      <c r="B50" s="193"/>
      <c r="C50" s="193" t="s">
        <v>372</v>
      </c>
      <c r="D50" s="193"/>
      <c r="E50" s="194"/>
      <c r="F50" s="195"/>
      <c r="G50" s="195"/>
      <c r="H50" s="394"/>
      <c r="I50" s="584"/>
      <c r="J50" s="416"/>
      <c r="K50" s="142"/>
    </row>
    <row r="51" spans="1:12" s="35" customFormat="1" ht="12.75" x14ac:dyDescent="0.2">
      <c r="A51" s="222" t="s">
        <v>233</v>
      </c>
      <c r="B51" s="253">
        <v>96622</v>
      </c>
      <c r="C51" s="251" t="s">
        <v>170</v>
      </c>
      <c r="D51" s="255" t="s">
        <v>82</v>
      </c>
      <c r="E51" s="223">
        <v>2.6</v>
      </c>
      <c r="F51" s="190">
        <v>104.87</v>
      </c>
      <c r="G51" s="186">
        <f t="shared" ref="G51:G56" si="2">(F51*$E$9)+F51</f>
        <v>131.09</v>
      </c>
      <c r="H51" s="576">
        <f t="shared" ref="H51:H56" si="3">E51*G51</f>
        <v>340.83</v>
      </c>
      <c r="I51" s="376">
        <f t="shared" ref="I51:I56" si="4">(H51*65%)</f>
        <v>221.54</v>
      </c>
      <c r="J51" s="376">
        <f t="shared" ref="J51:J56" si="5">(H51*35%)</f>
        <v>119.29</v>
      </c>
      <c r="K51" s="312">
        <f>(J51+I51)</f>
        <v>340.83</v>
      </c>
    </row>
    <row r="52" spans="1:12" s="35" customFormat="1" ht="29.25" customHeight="1" x14ac:dyDescent="0.2">
      <c r="A52" s="222" t="s">
        <v>248</v>
      </c>
      <c r="B52" s="253">
        <v>96536</v>
      </c>
      <c r="C52" s="251" t="s">
        <v>171</v>
      </c>
      <c r="D52" s="255" t="s">
        <v>76</v>
      </c>
      <c r="E52" s="223">
        <v>6.34</v>
      </c>
      <c r="F52" s="190">
        <v>58.49</v>
      </c>
      <c r="G52" s="186">
        <f t="shared" si="2"/>
        <v>73.11</v>
      </c>
      <c r="H52" s="576">
        <f t="shared" si="3"/>
        <v>463.52</v>
      </c>
      <c r="I52" s="376">
        <f t="shared" si="4"/>
        <v>301.29000000000002</v>
      </c>
      <c r="J52" s="376">
        <f t="shared" si="5"/>
        <v>162.22999999999999</v>
      </c>
      <c r="K52" s="312">
        <f>(J52+I52)</f>
        <v>463.52</v>
      </c>
    </row>
    <row r="53" spans="1:12" s="35" customFormat="1" ht="14.25" customHeight="1" x14ac:dyDescent="0.2">
      <c r="A53" s="222" t="s">
        <v>249</v>
      </c>
      <c r="B53" s="253">
        <v>96546</v>
      </c>
      <c r="C53" s="256" t="s">
        <v>172</v>
      </c>
      <c r="D53" s="255" t="s">
        <v>113</v>
      </c>
      <c r="E53" s="223">
        <v>111.06</v>
      </c>
      <c r="F53" s="190">
        <v>13.88</v>
      </c>
      <c r="G53" s="186">
        <f t="shared" si="2"/>
        <v>17.350000000000001</v>
      </c>
      <c r="H53" s="576">
        <f t="shared" si="3"/>
        <v>1926.89</v>
      </c>
      <c r="I53" s="376">
        <f t="shared" si="4"/>
        <v>1252.48</v>
      </c>
      <c r="J53" s="376">
        <f t="shared" si="5"/>
        <v>674.41</v>
      </c>
      <c r="K53" s="312">
        <f>(J53+I53)</f>
        <v>1926.89</v>
      </c>
    </row>
    <row r="54" spans="1:12" s="35" customFormat="1" ht="25.5" customHeight="1" x14ac:dyDescent="0.2">
      <c r="A54" s="222" t="s">
        <v>250</v>
      </c>
      <c r="B54" s="253">
        <v>92775</v>
      </c>
      <c r="C54" s="256" t="s">
        <v>173</v>
      </c>
      <c r="D54" s="257" t="s">
        <v>113</v>
      </c>
      <c r="E54" s="184">
        <v>33.26</v>
      </c>
      <c r="F54" s="185">
        <v>17.91</v>
      </c>
      <c r="G54" s="258">
        <f t="shared" si="2"/>
        <v>22.39</v>
      </c>
      <c r="H54" s="576">
        <f t="shared" si="3"/>
        <v>744.69</v>
      </c>
      <c r="I54" s="376">
        <f t="shared" si="4"/>
        <v>484.05</v>
      </c>
      <c r="J54" s="376">
        <f t="shared" si="5"/>
        <v>260.64</v>
      </c>
      <c r="K54" s="312">
        <f>(J54+I54)</f>
        <v>744.69</v>
      </c>
    </row>
    <row r="55" spans="1:12" s="35" customFormat="1" ht="38.25" x14ac:dyDescent="0.2">
      <c r="A55" s="222" t="s">
        <v>518</v>
      </c>
      <c r="B55" s="253">
        <v>94964</v>
      </c>
      <c r="C55" s="256" t="s">
        <v>167</v>
      </c>
      <c r="D55" s="257" t="s">
        <v>82</v>
      </c>
      <c r="E55" s="184">
        <v>2.6</v>
      </c>
      <c r="F55" s="185">
        <v>399.44</v>
      </c>
      <c r="G55" s="258">
        <f t="shared" si="2"/>
        <v>499.3</v>
      </c>
      <c r="H55" s="576">
        <f t="shared" si="3"/>
        <v>1298.18</v>
      </c>
      <c r="I55" s="376">
        <f t="shared" si="4"/>
        <v>843.82</v>
      </c>
      <c r="J55" s="376">
        <f t="shared" si="5"/>
        <v>454.36</v>
      </c>
      <c r="K55" s="312">
        <f>(J55+I55)</f>
        <v>1298.18</v>
      </c>
    </row>
    <row r="56" spans="1:12" s="35" customFormat="1" ht="21.75" customHeight="1" x14ac:dyDescent="0.2">
      <c r="A56" s="222" t="s">
        <v>519</v>
      </c>
      <c r="B56" s="253">
        <v>98556</v>
      </c>
      <c r="C56" s="251" t="s">
        <v>174</v>
      </c>
      <c r="D56" s="257" t="s">
        <v>76</v>
      </c>
      <c r="E56" s="184">
        <v>6.34</v>
      </c>
      <c r="F56" s="185">
        <v>45.06</v>
      </c>
      <c r="G56" s="258">
        <f t="shared" si="2"/>
        <v>56.33</v>
      </c>
      <c r="H56" s="576">
        <f t="shared" si="3"/>
        <v>357.13</v>
      </c>
      <c r="I56" s="376">
        <f t="shared" si="4"/>
        <v>232.13</v>
      </c>
      <c r="J56" s="376">
        <f t="shared" si="5"/>
        <v>125</v>
      </c>
      <c r="K56" s="312">
        <f>(J56+I56)</f>
        <v>357.13</v>
      </c>
    </row>
    <row r="57" spans="1:12" s="35" customFormat="1" ht="12.95" customHeight="1" x14ac:dyDescent="0.2">
      <c r="A57" s="330"/>
      <c r="B57" s="334"/>
      <c r="C57" s="339" t="s">
        <v>362</v>
      </c>
      <c r="D57" s="899"/>
      <c r="E57" s="900"/>
      <c r="F57" s="900"/>
      <c r="G57" s="901"/>
      <c r="H57" s="392">
        <f>SUM(H51:H56)</f>
        <v>5131.24</v>
      </c>
      <c r="I57" s="418">
        <f>SUM(I51:I56)</f>
        <v>3335.31</v>
      </c>
      <c r="J57" s="451">
        <f>SUM(J51:J56)</f>
        <v>1795.93</v>
      </c>
      <c r="K57" s="312">
        <f>(J57+I57)</f>
        <v>5131.24</v>
      </c>
    </row>
    <row r="58" spans="1:12" s="35" customFormat="1" ht="12.75" customHeight="1" x14ac:dyDescent="0.2">
      <c r="A58" s="421" t="s">
        <v>251</v>
      </c>
      <c r="B58" s="193"/>
      <c r="C58" s="193" t="s">
        <v>373</v>
      </c>
      <c r="D58" s="193"/>
      <c r="E58" s="194"/>
      <c r="F58" s="195"/>
      <c r="G58" s="195"/>
      <c r="H58" s="394"/>
      <c r="I58" s="584"/>
      <c r="J58" s="416"/>
      <c r="K58" s="142"/>
    </row>
    <row r="59" spans="1:12" s="35" customFormat="1" ht="12.75" x14ac:dyDescent="0.2">
      <c r="A59" s="222" t="s">
        <v>252</v>
      </c>
      <c r="B59" s="253">
        <v>92269</v>
      </c>
      <c r="C59" s="259" t="s">
        <v>175</v>
      </c>
      <c r="D59" s="257" t="s">
        <v>76</v>
      </c>
      <c r="E59" s="184">
        <v>13.5</v>
      </c>
      <c r="F59" s="185">
        <v>140.97</v>
      </c>
      <c r="G59" s="258">
        <f>(F59*$E$9)+F59</f>
        <v>176.21</v>
      </c>
      <c r="H59" s="576">
        <f>E59*G59</f>
        <v>2378.84</v>
      </c>
      <c r="I59" s="376">
        <f>(H59*65%)</f>
        <v>1546.25</v>
      </c>
      <c r="J59" s="376">
        <f>(H59*35%)</f>
        <v>832.59</v>
      </c>
      <c r="K59" s="312">
        <f>(J59+I59)</f>
        <v>2378.84</v>
      </c>
    </row>
    <row r="60" spans="1:12" s="35" customFormat="1" ht="25.5" customHeight="1" x14ac:dyDescent="0.2">
      <c r="A60" s="222" t="s">
        <v>253</v>
      </c>
      <c r="B60" s="253">
        <v>92778</v>
      </c>
      <c r="C60" s="259" t="s">
        <v>180</v>
      </c>
      <c r="D60" s="257" t="s">
        <v>113</v>
      </c>
      <c r="E60" s="184">
        <v>133.27000000000001</v>
      </c>
      <c r="F60" s="185">
        <v>13.79</v>
      </c>
      <c r="G60" s="258">
        <f t="shared" ref="G60" si="6">(F60*$E$9)+F60</f>
        <v>17.239999999999998</v>
      </c>
      <c r="H60" s="576">
        <f>E60*G60</f>
        <v>2297.5700000000002</v>
      </c>
      <c r="I60" s="376">
        <f>(H60*65%)</f>
        <v>1493.42</v>
      </c>
      <c r="J60" s="376">
        <f>(H60*35%)</f>
        <v>804.15</v>
      </c>
      <c r="K60" s="312">
        <f>(J60+I60)</f>
        <v>2297.5700000000002</v>
      </c>
    </row>
    <row r="61" spans="1:12" s="179" customFormat="1" ht="15.75" customHeight="1" x14ac:dyDescent="0.2">
      <c r="A61" s="222" t="s">
        <v>254</v>
      </c>
      <c r="B61" s="253">
        <v>92776</v>
      </c>
      <c r="C61" s="259" t="s">
        <v>178</v>
      </c>
      <c r="D61" s="257" t="s">
        <v>113</v>
      </c>
      <c r="E61" s="184">
        <v>52.92</v>
      </c>
      <c r="F61" s="185">
        <v>16.7</v>
      </c>
      <c r="G61" s="258">
        <f>(F61*$E$9)+F61</f>
        <v>20.88</v>
      </c>
      <c r="H61" s="576">
        <f>E61*G61</f>
        <v>1104.97</v>
      </c>
      <c r="I61" s="376">
        <f>H61*65%</f>
        <v>718.23</v>
      </c>
      <c r="J61" s="376">
        <f>H61*35%</f>
        <v>386.74</v>
      </c>
      <c r="K61" s="312">
        <f>(J61+I61)</f>
        <v>1104.97</v>
      </c>
      <c r="L61" s="35"/>
    </row>
    <row r="62" spans="1:12" s="179" customFormat="1" ht="25.5" customHeight="1" x14ac:dyDescent="0.2">
      <c r="A62" s="222" t="s">
        <v>255</v>
      </c>
      <c r="B62" s="253">
        <v>92775</v>
      </c>
      <c r="C62" s="259" t="s">
        <v>181</v>
      </c>
      <c r="D62" s="257" t="s">
        <v>113</v>
      </c>
      <c r="E62" s="184">
        <v>73.92</v>
      </c>
      <c r="F62" s="185">
        <v>17.91</v>
      </c>
      <c r="G62" s="258">
        <f t="shared" ref="G62" si="7">(F62*$E$9)+F62</f>
        <v>22.39</v>
      </c>
      <c r="H62" s="576">
        <f>E62*G62</f>
        <v>1655.07</v>
      </c>
      <c r="I62" s="376">
        <f>(H62*65%)</f>
        <v>1075.8</v>
      </c>
      <c r="J62" s="376">
        <f>(H62*35%)</f>
        <v>579.27</v>
      </c>
      <c r="K62" s="312">
        <f>(J62+I62)</f>
        <v>1655.07</v>
      </c>
    </row>
    <row r="63" spans="1:12" s="35" customFormat="1" ht="38.25" customHeight="1" x14ac:dyDescent="0.2">
      <c r="A63" s="222" t="s">
        <v>520</v>
      </c>
      <c r="B63" s="253">
        <v>94964</v>
      </c>
      <c r="C63" s="259" t="s">
        <v>167</v>
      </c>
      <c r="D63" s="257" t="s">
        <v>82</v>
      </c>
      <c r="E63" s="184">
        <v>2.02</v>
      </c>
      <c r="F63" s="185">
        <v>399.44</v>
      </c>
      <c r="G63" s="258">
        <f>(F63*$E$9)+F63</f>
        <v>499.3</v>
      </c>
      <c r="H63" s="576">
        <f>E63*G63</f>
        <v>1008.59</v>
      </c>
      <c r="I63" s="376">
        <f>(H63*65%)</f>
        <v>655.58</v>
      </c>
      <c r="J63" s="376">
        <f>(H63*35%)</f>
        <v>353.01</v>
      </c>
      <c r="K63" s="312">
        <f>(J63+I63)</f>
        <v>1008.59</v>
      </c>
      <c r="L63" s="179"/>
    </row>
    <row r="64" spans="1:12" s="35" customFormat="1" ht="12.95" customHeight="1" x14ac:dyDescent="0.2">
      <c r="A64" s="330"/>
      <c r="B64" s="334"/>
      <c r="C64" s="341" t="s">
        <v>362</v>
      </c>
      <c r="D64" s="899"/>
      <c r="E64" s="900"/>
      <c r="F64" s="900"/>
      <c r="G64" s="901"/>
      <c r="H64" s="392">
        <f>SUM(H59:H63)</f>
        <v>8445.0400000000009</v>
      </c>
      <c r="I64" s="418">
        <f>SUM(I59:I63)</f>
        <v>5489.28</v>
      </c>
      <c r="J64" s="451">
        <f>SUM(J59:J63)</f>
        <v>2955.76</v>
      </c>
      <c r="K64" s="312">
        <f>(J64+I64)</f>
        <v>8445.0400000000009</v>
      </c>
      <c r="L64" s="179"/>
    </row>
    <row r="65" spans="1:11" s="35" customFormat="1" ht="12.75" x14ac:dyDescent="0.2">
      <c r="A65" s="421" t="s">
        <v>256</v>
      </c>
      <c r="B65" s="193"/>
      <c r="C65" s="193" t="s">
        <v>374</v>
      </c>
      <c r="D65" s="193"/>
      <c r="E65" s="194"/>
      <c r="F65" s="195"/>
      <c r="G65" s="195"/>
      <c r="H65" s="394"/>
      <c r="I65" s="584"/>
      <c r="J65" s="416"/>
      <c r="K65" s="142"/>
    </row>
    <row r="66" spans="1:11" s="35" customFormat="1" ht="50.25" customHeight="1" x14ac:dyDescent="0.2">
      <c r="A66" s="222" t="s">
        <v>257</v>
      </c>
      <c r="B66" s="253">
        <v>101963</v>
      </c>
      <c r="C66" s="259" t="s">
        <v>245</v>
      </c>
      <c r="D66" s="257" t="s">
        <v>76</v>
      </c>
      <c r="E66" s="184">
        <v>162</v>
      </c>
      <c r="F66" s="185">
        <v>161.46</v>
      </c>
      <c r="G66" s="258">
        <f t="shared" ref="G66" si="8">(F66*$E$9)+F66</f>
        <v>201.83</v>
      </c>
      <c r="H66" s="576">
        <f>E66*G66</f>
        <v>32696.46</v>
      </c>
      <c r="I66" s="376">
        <f>(H66*65%)</f>
        <v>21252.7</v>
      </c>
      <c r="J66" s="376">
        <f>(H66*35%)</f>
        <v>11443.76</v>
      </c>
      <c r="K66" s="312">
        <f>(J66+I66)</f>
        <v>32696.46</v>
      </c>
    </row>
    <row r="67" spans="1:11" s="35" customFormat="1" ht="14.25" customHeight="1" x14ac:dyDescent="0.2">
      <c r="A67" s="330"/>
      <c r="B67" s="334"/>
      <c r="C67" s="341" t="s">
        <v>362</v>
      </c>
      <c r="D67" s="899"/>
      <c r="E67" s="900"/>
      <c r="F67" s="900"/>
      <c r="G67" s="901"/>
      <c r="H67" s="392">
        <f>SUM(H66)</f>
        <v>32696.46</v>
      </c>
      <c r="I67" s="418">
        <f>SUM(I66)</f>
        <v>21252.7</v>
      </c>
      <c r="J67" s="451">
        <f>SUM(J66)</f>
        <v>11443.76</v>
      </c>
      <c r="K67" s="312">
        <f>(J67+I67)</f>
        <v>32696.46</v>
      </c>
    </row>
    <row r="68" spans="1:11" s="35" customFormat="1" ht="15" customHeight="1" x14ac:dyDescent="0.2">
      <c r="A68" s="421" t="s">
        <v>258</v>
      </c>
      <c r="B68" s="193"/>
      <c r="C68" s="193" t="s">
        <v>375</v>
      </c>
      <c r="D68" s="193"/>
      <c r="E68" s="194"/>
      <c r="F68" s="195"/>
      <c r="G68" s="195"/>
      <c r="H68" s="394"/>
      <c r="I68" s="584"/>
      <c r="J68" s="416"/>
      <c r="K68" s="142"/>
    </row>
    <row r="69" spans="1:11" s="35" customFormat="1" ht="12.95" customHeight="1" x14ac:dyDescent="0.2">
      <c r="A69" s="222" t="s">
        <v>259</v>
      </c>
      <c r="B69" s="253">
        <v>92776</v>
      </c>
      <c r="C69" s="259" t="s">
        <v>178</v>
      </c>
      <c r="D69" s="257" t="s">
        <v>113</v>
      </c>
      <c r="E69" s="184">
        <v>58.8</v>
      </c>
      <c r="F69" s="185">
        <v>16.7</v>
      </c>
      <c r="G69" s="258">
        <f>(F69*$E$9)+F69</f>
        <v>20.88</v>
      </c>
      <c r="H69" s="576">
        <f>E69*G69</f>
        <v>1227.74</v>
      </c>
      <c r="I69" s="376">
        <f>H69*65%</f>
        <v>798.03</v>
      </c>
      <c r="J69" s="376">
        <f>H69*35%</f>
        <v>429.71</v>
      </c>
      <c r="K69" s="142">
        <f>(J69+I69)</f>
        <v>1227.74</v>
      </c>
    </row>
    <row r="70" spans="1:11" s="35" customFormat="1" ht="15" customHeight="1" x14ac:dyDescent="0.2">
      <c r="A70" s="229" t="s">
        <v>260</v>
      </c>
      <c r="B70" s="253">
        <v>92777</v>
      </c>
      <c r="C70" s="254" t="s">
        <v>169</v>
      </c>
      <c r="D70" s="229" t="s">
        <v>113</v>
      </c>
      <c r="E70" s="189">
        <v>142.19999999999999</v>
      </c>
      <c r="F70" s="230">
        <v>15.52</v>
      </c>
      <c r="G70" s="186">
        <f>(F70*$E$9)+F70</f>
        <v>19.399999999999999</v>
      </c>
      <c r="H70" s="576">
        <f>(E70*G70)</f>
        <v>2758.68</v>
      </c>
      <c r="I70" s="376">
        <f>(H70*65%)</f>
        <v>1793.14</v>
      </c>
      <c r="J70" s="450">
        <f>(H70*35%)</f>
        <v>965.54</v>
      </c>
      <c r="K70" s="142">
        <f>(J70+I70)</f>
        <v>2758.68</v>
      </c>
    </row>
    <row r="71" spans="1:11" s="35" customFormat="1" ht="40.5" customHeight="1" x14ac:dyDescent="0.2">
      <c r="A71" s="222" t="s">
        <v>261</v>
      </c>
      <c r="B71" s="253">
        <v>92775</v>
      </c>
      <c r="C71" s="256" t="s">
        <v>181</v>
      </c>
      <c r="D71" s="257" t="s">
        <v>113</v>
      </c>
      <c r="E71" s="184">
        <v>36.96</v>
      </c>
      <c r="F71" s="185">
        <v>17.91</v>
      </c>
      <c r="G71" s="186">
        <f>(F71*$E$9)+F71</f>
        <v>22.39</v>
      </c>
      <c r="H71" s="576">
        <f>E71*G71</f>
        <v>827.53</v>
      </c>
      <c r="I71" s="376">
        <f>H71*65%</f>
        <v>537.89</v>
      </c>
      <c r="J71" s="376">
        <f>H71*35%</f>
        <v>289.64</v>
      </c>
      <c r="K71" s="142">
        <f>(J71+I71)</f>
        <v>827.53</v>
      </c>
    </row>
    <row r="72" spans="1:11" s="35" customFormat="1" ht="12.95" customHeight="1" x14ac:dyDescent="0.2">
      <c r="A72" s="222" t="s">
        <v>402</v>
      </c>
      <c r="B72" s="253">
        <v>94964</v>
      </c>
      <c r="C72" s="259" t="s">
        <v>167</v>
      </c>
      <c r="D72" s="257" t="s">
        <v>82</v>
      </c>
      <c r="E72" s="184">
        <v>3</v>
      </c>
      <c r="F72" s="185">
        <v>399.44</v>
      </c>
      <c r="G72" s="258">
        <f>(F72*$E$9)+F72</f>
        <v>499.3</v>
      </c>
      <c r="H72" s="576">
        <f>E72*G72</f>
        <v>1497.9</v>
      </c>
      <c r="I72" s="376">
        <f>(H72*65%)</f>
        <v>973.64</v>
      </c>
      <c r="J72" s="376">
        <f>(H72*35%)</f>
        <v>524.27</v>
      </c>
      <c r="K72" s="142">
        <f>(J72+I72)</f>
        <v>1497.91</v>
      </c>
    </row>
    <row r="73" spans="1:11" s="35" customFormat="1" ht="15.75" customHeight="1" x14ac:dyDescent="0.2">
      <c r="A73" s="330"/>
      <c r="B73" s="334"/>
      <c r="C73" s="340" t="s">
        <v>363</v>
      </c>
      <c r="D73" s="899"/>
      <c r="E73" s="900"/>
      <c r="F73" s="900"/>
      <c r="G73" s="901"/>
      <c r="H73" s="403">
        <f>SUM(H69:H72)</f>
        <v>6311.85</v>
      </c>
      <c r="I73" s="418">
        <f>SUM(I69:I72)</f>
        <v>4102.7</v>
      </c>
      <c r="J73" s="451">
        <f>SUM(J69:J72)</f>
        <v>2209.16</v>
      </c>
      <c r="K73" s="142">
        <f>(J73+I73)</f>
        <v>6311.86</v>
      </c>
    </row>
    <row r="74" spans="1:11" s="182" customFormat="1" ht="14.25" customHeight="1" x14ac:dyDescent="0.2">
      <c r="A74" s="902"/>
      <c r="B74" s="904"/>
      <c r="C74" s="563" t="s">
        <v>379</v>
      </c>
      <c r="D74" s="902"/>
      <c r="E74" s="903"/>
      <c r="F74" s="903"/>
      <c r="G74" s="904"/>
      <c r="H74" s="578">
        <f>H43+H38+H32+H22</f>
        <v>8353.81</v>
      </c>
      <c r="I74" s="556">
        <f>H74*65%</f>
        <v>5429.98</v>
      </c>
      <c r="J74" s="556">
        <f>H74*35%</f>
        <v>2923.83</v>
      </c>
      <c r="K74" s="564">
        <f>(J74+I74)</f>
        <v>8353.81</v>
      </c>
    </row>
    <row r="75" spans="1:11" s="712" customFormat="1" ht="12.75" x14ac:dyDescent="0.2">
      <c r="A75" s="706"/>
      <c r="B75" s="707"/>
      <c r="C75" s="719" t="s">
        <v>460</v>
      </c>
      <c r="D75" s="896"/>
      <c r="E75" s="897"/>
      <c r="F75" s="897"/>
      <c r="G75" s="898"/>
      <c r="H75" s="708">
        <f>H22</f>
        <v>2173.31</v>
      </c>
      <c r="I75" s="709">
        <f>I22</f>
        <v>1412.65</v>
      </c>
      <c r="J75" s="710">
        <f>J22</f>
        <v>760.66</v>
      </c>
      <c r="K75" s="711">
        <f>(J75+I75)</f>
        <v>2173.31</v>
      </c>
    </row>
    <row r="76" spans="1:11" s="712" customFormat="1" ht="16.5" customHeight="1" x14ac:dyDescent="0.2">
      <c r="A76" s="706"/>
      <c r="B76" s="713"/>
      <c r="C76" s="714" t="s">
        <v>461</v>
      </c>
      <c r="D76" s="715"/>
      <c r="E76" s="716"/>
      <c r="F76" s="716"/>
      <c r="G76" s="717"/>
      <c r="H76" s="718">
        <f>H43+H38+H32</f>
        <v>6180.5</v>
      </c>
      <c r="I76" s="709">
        <f>I43+I38+I32</f>
        <v>4017.33</v>
      </c>
      <c r="J76" s="709">
        <f>J43+J38+J32</f>
        <v>2163.17</v>
      </c>
      <c r="K76" s="711">
        <f>(J76+I76)</f>
        <v>6180.5</v>
      </c>
    </row>
    <row r="77" spans="1:11" s="571" customFormat="1" ht="15.75" customHeight="1" x14ac:dyDescent="0.2">
      <c r="A77" s="565"/>
      <c r="B77" s="566"/>
      <c r="C77" s="567" t="s">
        <v>378</v>
      </c>
      <c r="D77" s="895"/>
      <c r="E77" s="895"/>
      <c r="F77" s="895"/>
      <c r="G77" s="895"/>
      <c r="H77" s="579">
        <f>H49+H57+H64+H67+H73</f>
        <v>54965.9</v>
      </c>
      <c r="I77" s="580">
        <f>I73+I67+I64+I57+I49</f>
        <v>35727.839999999997</v>
      </c>
      <c r="J77" s="569">
        <f>J73+J67+J64+J57+J49</f>
        <v>19238.07</v>
      </c>
      <c r="K77" s="570">
        <f>(J77+I77)</f>
        <v>54965.91</v>
      </c>
    </row>
    <row r="78" spans="1:11" s="494" customFormat="1" ht="14.25" customHeight="1" x14ac:dyDescent="0.2">
      <c r="A78" s="490"/>
      <c r="B78" s="495"/>
      <c r="C78" s="496" t="s">
        <v>380</v>
      </c>
      <c r="D78" s="497"/>
      <c r="E78" s="491"/>
      <c r="F78" s="492"/>
      <c r="G78" s="498"/>
      <c r="H78" s="493">
        <f>H77+H74</f>
        <v>63319.71</v>
      </c>
      <c r="I78" s="501">
        <f>I74+I77</f>
        <v>41157.82</v>
      </c>
      <c r="J78" s="501">
        <f>J74+J77</f>
        <v>22161.9</v>
      </c>
      <c r="K78" s="500">
        <f>(J78+I78)</f>
        <v>63319.72</v>
      </c>
    </row>
    <row r="79" spans="1:11" s="35" customFormat="1" ht="12.75" x14ac:dyDescent="0.2">
      <c r="A79" s="423">
        <v>2</v>
      </c>
      <c r="B79" s="191"/>
      <c r="C79" s="192" t="s">
        <v>435</v>
      </c>
      <c r="D79" s="607"/>
      <c r="E79" s="607"/>
      <c r="F79" s="607"/>
      <c r="G79" s="607"/>
      <c r="H79" s="607"/>
      <c r="I79" s="582"/>
      <c r="J79" s="582"/>
      <c r="K79" s="187"/>
    </row>
    <row r="80" spans="1:11" s="35" customFormat="1" ht="12.75" x14ac:dyDescent="0.2">
      <c r="A80" s="421" t="s">
        <v>101</v>
      </c>
      <c r="B80" s="242"/>
      <c r="C80" s="193" t="s">
        <v>463</v>
      </c>
      <c r="D80" s="225"/>
      <c r="E80" s="225"/>
      <c r="F80" s="225"/>
      <c r="G80" s="225"/>
      <c r="H80" s="404"/>
      <c r="I80" s="395"/>
      <c r="J80" s="395"/>
      <c r="K80" s="243"/>
    </row>
    <row r="81" spans="1:11" s="35" customFormat="1" ht="35.25" customHeight="1" x14ac:dyDescent="0.2">
      <c r="A81" s="222" t="s">
        <v>198</v>
      </c>
      <c r="B81" s="250">
        <v>97622</v>
      </c>
      <c r="C81" s="251" t="s">
        <v>85</v>
      </c>
      <c r="D81" s="183" t="s">
        <v>82</v>
      </c>
      <c r="E81" s="184">
        <v>8.18</v>
      </c>
      <c r="F81" s="185">
        <v>48.91</v>
      </c>
      <c r="G81" s="186">
        <f t="shared" ref="G81:G84" si="9">(F81*$E$9)+F81</f>
        <v>61.14</v>
      </c>
      <c r="H81" s="576">
        <f t="shared" ref="H81:H82" si="10">E81*G81</f>
        <v>500.13</v>
      </c>
      <c r="I81" s="376">
        <f t="shared" ref="I81:I82" si="11">(H81*65%)</f>
        <v>325.08</v>
      </c>
      <c r="J81" s="390">
        <f t="shared" ref="J81:J82" si="12">(H81*35%)</f>
        <v>175.05</v>
      </c>
      <c r="K81" s="312">
        <f>(J81+I81)</f>
        <v>500.13</v>
      </c>
    </row>
    <row r="82" spans="1:11" s="244" customFormat="1" ht="33.75" customHeight="1" x14ac:dyDescent="0.2">
      <c r="A82" s="222" t="s">
        <v>199</v>
      </c>
      <c r="B82" s="264">
        <v>103335</v>
      </c>
      <c r="C82" s="259" t="s">
        <v>426</v>
      </c>
      <c r="D82" s="183" t="s">
        <v>76</v>
      </c>
      <c r="E82" s="184">
        <v>133.93</v>
      </c>
      <c r="F82" s="185">
        <v>130.43</v>
      </c>
      <c r="G82" s="186">
        <f t="shared" ref="G82" si="13">(F82*$E$9)+F82</f>
        <v>163.04</v>
      </c>
      <c r="H82" s="576">
        <f t="shared" si="10"/>
        <v>21835.95</v>
      </c>
      <c r="I82" s="376">
        <f t="shared" si="11"/>
        <v>14193.37</v>
      </c>
      <c r="J82" s="390">
        <f t="shared" si="12"/>
        <v>7642.58</v>
      </c>
      <c r="K82" s="312">
        <f>(J82+I82)</f>
        <v>21835.95</v>
      </c>
    </row>
    <row r="83" spans="1:11" s="35" customFormat="1" ht="38.25" customHeight="1" x14ac:dyDescent="0.2">
      <c r="A83" s="222" t="s">
        <v>200</v>
      </c>
      <c r="B83" s="265">
        <v>87879</v>
      </c>
      <c r="C83" s="259" t="s">
        <v>184</v>
      </c>
      <c r="D83" s="183" t="s">
        <v>76</v>
      </c>
      <c r="E83" s="184">
        <v>259.57</v>
      </c>
      <c r="F83" s="185">
        <v>3.66</v>
      </c>
      <c r="G83" s="186">
        <f t="shared" si="9"/>
        <v>4.58</v>
      </c>
      <c r="H83" s="576">
        <f t="shared" ref="H83:H84" si="14">E83*G83</f>
        <v>1188.83</v>
      </c>
      <c r="I83" s="376">
        <f t="shared" ref="I83:I84" si="15">(H83*65%)</f>
        <v>772.74</v>
      </c>
      <c r="J83" s="390">
        <f t="shared" ref="J83:J84" si="16">(H83*35%)</f>
        <v>416.09</v>
      </c>
      <c r="K83" s="312">
        <f>(J83+I83)</f>
        <v>1188.83</v>
      </c>
    </row>
    <row r="84" spans="1:11" s="35" customFormat="1" ht="52.5" customHeight="1" x14ac:dyDescent="0.2">
      <c r="A84" s="222" t="s">
        <v>262</v>
      </c>
      <c r="B84" s="265">
        <v>87777</v>
      </c>
      <c r="C84" s="259" t="s">
        <v>185</v>
      </c>
      <c r="D84" s="266" t="s">
        <v>76</v>
      </c>
      <c r="E84" s="267">
        <v>256.55</v>
      </c>
      <c r="F84" s="268">
        <v>53.3</v>
      </c>
      <c r="G84" s="258">
        <f t="shared" si="9"/>
        <v>66.63</v>
      </c>
      <c r="H84" s="583">
        <f t="shared" si="14"/>
        <v>17093.93</v>
      </c>
      <c r="I84" s="376">
        <f t="shared" si="15"/>
        <v>11111.05</v>
      </c>
      <c r="J84" s="390">
        <f t="shared" si="16"/>
        <v>5982.88</v>
      </c>
      <c r="K84" s="312">
        <f>(J84+I84)</f>
        <v>17093.93</v>
      </c>
    </row>
    <row r="85" spans="1:11" s="536" customFormat="1" ht="12.75" x14ac:dyDescent="0.2">
      <c r="A85" s="424"/>
      <c r="B85" s="343"/>
      <c r="C85" s="347" t="s">
        <v>362</v>
      </c>
      <c r="D85" s="344"/>
      <c r="E85" s="345"/>
      <c r="F85" s="346"/>
      <c r="G85" s="337"/>
      <c r="H85" s="398">
        <f>SUM(H81:H84)</f>
        <v>40618.839999999997</v>
      </c>
      <c r="I85" s="418">
        <f>SUM(I81:I84)</f>
        <v>26402.240000000002</v>
      </c>
      <c r="J85" s="393">
        <f>SUM(J81:J84)</f>
        <v>14216.6</v>
      </c>
      <c r="K85" s="312">
        <f>(J85+I85)</f>
        <v>40618.839999999997</v>
      </c>
    </row>
    <row r="86" spans="1:11" s="35" customFormat="1" ht="12.75" x14ac:dyDescent="0.2">
      <c r="A86" s="421" t="s">
        <v>114</v>
      </c>
      <c r="B86" s="242"/>
      <c r="C86" s="193" t="s">
        <v>464</v>
      </c>
      <c r="D86" s="225"/>
      <c r="E86" s="225"/>
      <c r="F86" s="225"/>
      <c r="G86" s="225"/>
      <c r="H86" s="404"/>
      <c r="I86" s="584"/>
      <c r="J86" s="584"/>
      <c r="K86" s="243"/>
    </row>
    <row r="87" spans="1:11" s="244" customFormat="1" ht="33.75" customHeight="1" x14ac:dyDescent="0.2">
      <c r="A87" s="222" t="s">
        <v>201</v>
      </c>
      <c r="B87" s="264">
        <v>103335</v>
      </c>
      <c r="C87" s="259" t="s">
        <v>426</v>
      </c>
      <c r="D87" s="183" t="s">
        <v>76</v>
      </c>
      <c r="E87" s="184">
        <v>23.4</v>
      </c>
      <c r="F87" s="185">
        <v>130.43</v>
      </c>
      <c r="G87" s="186">
        <f t="shared" ref="G87:G90" si="17">(F87*$E$9)+F87</f>
        <v>163.04</v>
      </c>
      <c r="H87" s="576">
        <f t="shared" ref="H87:H90" si="18">E87*G87</f>
        <v>3815.14</v>
      </c>
      <c r="I87" s="376">
        <f t="shared" ref="I87:I90" si="19">(H87*65%)</f>
        <v>2479.84</v>
      </c>
      <c r="J87" s="390">
        <f t="shared" ref="J87:J90" si="20">(H87*35%)</f>
        <v>1335.3</v>
      </c>
      <c r="K87" s="312">
        <f>(J87+I87)</f>
        <v>3815.14</v>
      </c>
    </row>
    <row r="88" spans="1:11" s="35" customFormat="1" ht="38.25" customHeight="1" x14ac:dyDescent="0.2">
      <c r="A88" s="222" t="s">
        <v>202</v>
      </c>
      <c r="B88" s="265">
        <v>87879</v>
      </c>
      <c r="C88" s="259" t="s">
        <v>184</v>
      </c>
      <c r="D88" s="183" t="s">
        <v>76</v>
      </c>
      <c r="E88" s="184">
        <v>53.07</v>
      </c>
      <c r="F88" s="185">
        <v>3.66</v>
      </c>
      <c r="G88" s="186">
        <f t="shared" si="17"/>
        <v>4.58</v>
      </c>
      <c r="H88" s="576">
        <f t="shared" si="18"/>
        <v>243.06</v>
      </c>
      <c r="I88" s="376">
        <f t="shared" si="19"/>
        <v>157.99</v>
      </c>
      <c r="J88" s="390">
        <f t="shared" si="20"/>
        <v>85.07</v>
      </c>
      <c r="K88" s="312">
        <f>(J88+I88)</f>
        <v>243.06</v>
      </c>
    </row>
    <row r="89" spans="1:11" s="35" customFormat="1" ht="52.5" customHeight="1" x14ac:dyDescent="0.2">
      <c r="A89" s="222" t="s">
        <v>203</v>
      </c>
      <c r="B89" s="265">
        <v>87777</v>
      </c>
      <c r="C89" s="259" t="s">
        <v>185</v>
      </c>
      <c r="D89" s="266" t="s">
        <v>76</v>
      </c>
      <c r="E89" s="267">
        <v>53.07</v>
      </c>
      <c r="F89" s="268">
        <v>53.3</v>
      </c>
      <c r="G89" s="258">
        <f t="shared" si="17"/>
        <v>66.63</v>
      </c>
      <c r="H89" s="583">
        <f t="shared" si="18"/>
        <v>3536.05</v>
      </c>
      <c r="I89" s="376">
        <f t="shared" si="19"/>
        <v>2298.4299999999998</v>
      </c>
      <c r="J89" s="390">
        <f t="shared" si="20"/>
        <v>1237.6199999999999</v>
      </c>
      <c r="K89" s="312">
        <f>(J89+I89)</f>
        <v>3536.05</v>
      </c>
    </row>
    <row r="90" spans="1:11" s="35" customFormat="1" ht="12.95" customHeight="1" x14ac:dyDescent="0.2">
      <c r="A90" s="183" t="s">
        <v>521</v>
      </c>
      <c r="B90" s="265">
        <v>87273</v>
      </c>
      <c r="C90" s="269" t="s">
        <v>189</v>
      </c>
      <c r="D90" s="266" t="s">
        <v>76</v>
      </c>
      <c r="E90" s="267">
        <v>52</v>
      </c>
      <c r="F90" s="268">
        <v>57.73</v>
      </c>
      <c r="G90" s="270">
        <f t="shared" si="17"/>
        <v>72.16</v>
      </c>
      <c r="H90" s="583">
        <f t="shared" si="18"/>
        <v>3752.32</v>
      </c>
      <c r="I90" s="376">
        <f t="shared" si="19"/>
        <v>2439.0100000000002</v>
      </c>
      <c r="J90" s="391">
        <f t="shared" si="20"/>
        <v>1313.31</v>
      </c>
      <c r="K90" s="312">
        <f>(J90+I90)</f>
        <v>3752.32</v>
      </c>
    </row>
    <row r="91" spans="1:11" s="536" customFormat="1" ht="12.75" x14ac:dyDescent="0.2">
      <c r="A91" s="424"/>
      <c r="B91" s="343"/>
      <c r="C91" s="347" t="s">
        <v>362</v>
      </c>
      <c r="D91" s="344"/>
      <c r="E91" s="345"/>
      <c r="F91" s="346"/>
      <c r="G91" s="337"/>
      <c r="H91" s="398">
        <f>SUM(H87:H90)</f>
        <v>11346.57</v>
      </c>
      <c r="I91" s="418">
        <f>SUM(I87:I90)</f>
        <v>7375.27</v>
      </c>
      <c r="J91" s="393">
        <f>SUM(J87:J90)</f>
        <v>3971.3</v>
      </c>
      <c r="K91" s="312">
        <f>(J91+I91)</f>
        <v>11346.57</v>
      </c>
    </row>
    <row r="92" spans="1:11" s="35" customFormat="1" ht="15.75" customHeight="1" x14ac:dyDescent="0.2">
      <c r="A92" s="421" t="s">
        <v>522</v>
      </c>
      <c r="B92" s="242"/>
      <c r="C92" s="193" t="s">
        <v>381</v>
      </c>
      <c r="D92" s="613"/>
      <c r="E92" s="225"/>
      <c r="F92" s="225"/>
      <c r="G92" s="225"/>
      <c r="H92" s="404"/>
      <c r="I92" s="585"/>
      <c r="J92" s="585"/>
      <c r="K92" s="243"/>
    </row>
    <row r="93" spans="1:11" s="35" customFormat="1" ht="25.5" customHeight="1" x14ac:dyDescent="0.2">
      <c r="A93" s="222" t="s">
        <v>523</v>
      </c>
      <c r="B93" s="264">
        <v>103335</v>
      </c>
      <c r="C93" s="259" t="s">
        <v>427</v>
      </c>
      <c r="D93" s="183" t="s">
        <v>76</v>
      </c>
      <c r="E93" s="184">
        <v>200</v>
      </c>
      <c r="F93" s="185">
        <v>130.43</v>
      </c>
      <c r="G93" s="186">
        <f>(F93*$E$9)+F93</f>
        <v>163.04</v>
      </c>
      <c r="H93" s="576">
        <f>E93*G93</f>
        <v>32608</v>
      </c>
      <c r="I93" s="376">
        <f>(H93*65%)</f>
        <v>21195.200000000001</v>
      </c>
      <c r="J93" s="376">
        <f t="shared" ref="J93:J95" si="21">(H93*35%)</f>
        <v>11412.8</v>
      </c>
      <c r="K93" s="312">
        <f>(J93+I93)</f>
        <v>32608</v>
      </c>
    </row>
    <row r="94" spans="1:11" s="244" customFormat="1" ht="41.25" customHeight="1" x14ac:dyDescent="0.2">
      <c r="A94" s="222" t="s">
        <v>524</v>
      </c>
      <c r="B94" s="265">
        <v>87879</v>
      </c>
      <c r="C94" s="259" t="s">
        <v>184</v>
      </c>
      <c r="D94" s="183" t="s">
        <v>76</v>
      </c>
      <c r="E94" s="184">
        <v>420</v>
      </c>
      <c r="F94" s="185">
        <v>3.66</v>
      </c>
      <c r="G94" s="186">
        <f t="shared" ref="G94:G95" si="22">(F94*$E$9)+F94</f>
        <v>4.58</v>
      </c>
      <c r="H94" s="576">
        <f>E94*G94</f>
        <v>1923.6</v>
      </c>
      <c r="I94" s="376">
        <f t="shared" ref="I94:I95" si="23">(H94*65%)</f>
        <v>1250.3399999999999</v>
      </c>
      <c r="J94" s="376">
        <f t="shared" si="21"/>
        <v>673.26</v>
      </c>
      <c r="K94" s="312">
        <f>(J94+I94)</f>
        <v>1923.6</v>
      </c>
    </row>
    <row r="95" spans="1:11" s="35" customFormat="1" ht="44.25" customHeight="1" x14ac:dyDescent="0.2">
      <c r="A95" s="222" t="s">
        <v>525</v>
      </c>
      <c r="B95" s="265">
        <v>87777</v>
      </c>
      <c r="C95" s="259" t="s">
        <v>185</v>
      </c>
      <c r="D95" s="266" t="s">
        <v>76</v>
      </c>
      <c r="E95" s="267">
        <v>420</v>
      </c>
      <c r="F95" s="268">
        <v>53.3</v>
      </c>
      <c r="G95" s="258">
        <f t="shared" si="22"/>
        <v>66.63</v>
      </c>
      <c r="H95" s="583">
        <f t="shared" ref="H95" si="24">E95*G95</f>
        <v>27984.6</v>
      </c>
      <c r="I95" s="376">
        <f t="shared" si="23"/>
        <v>18189.990000000002</v>
      </c>
      <c r="J95" s="376">
        <f t="shared" si="21"/>
        <v>9794.61</v>
      </c>
      <c r="K95" s="312">
        <f>(J95+I95)</f>
        <v>27984.6</v>
      </c>
    </row>
    <row r="96" spans="1:11" s="536" customFormat="1" ht="12.75" x14ac:dyDescent="0.2">
      <c r="A96" s="183"/>
      <c r="B96" s="265"/>
      <c r="C96" s="348" t="s">
        <v>362</v>
      </c>
      <c r="D96" s="909"/>
      <c r="E96" s="910"/>
      <c r="F96" s="910"/>
      <c r="G96" s="911"/>
      <c r="H96" s="397">
        <f>SUM(H93:H95)</f>
        <v>62516.2</v>
      </c>
      <c r="I96" s="418">
        <f>SUM(I93:I95)</f>
        <v>40635.53</v>
      </c>
      <c r="J96" s="453">
        <f>SUM(J93:J95)</f>
        <v>21880.67</v>
      </c>
      <c r="K96" s="312">
        <f>(J96+I96)</f>
        <v>62516.2</v>
      </c>
    </row>
    <row r="97" spans="1:11" s="182" customFormat="1" ht="12.75" x14ac:dyDescent="0.2">
      <c r="A97" s="656"/>
      <c r="B97" s="562"/>
      <c r="C97" s="720" t="s">
        <v>436</v>
      </c>
      <c r="D97" s="657"/>
      <c r="E97" s="658"/>
      <c r="F97" s="659"/>
      <c r="G97" s="533"/>
      <c r="H97" s="534">
        <f>H85+H91</f>
        <v>51965.41</v>
      </c>
      <c r="I97" s="556">
        <f>I91+I85</f>
        <v>33777.51</v>
      </c>
      <c r="J97" s="660">
        <f>J91+J85</f>
        <v>18187.900000000001</v>
      </c>
      <c r="K97" s="181">
        <f>(J97+I97)</f>
        <v>51965.41</v>
      </c>
    </row>
    <row r="98" spans="1:11" s="712" customFormat="1" ht="12.75" x14ac:dyDescent="0.2">
      <c r="A98" s="721"/>
      <c r="B98" s="729"/>
      <c r="C98" s="722" t="s">
        <v>465</v>
      </c>
      <c r="D98" s="723"/>
      <c r="E98" s="724"/>
      <c r="F98" s="725"/>
      <c r="G98" s="726"/>
      <c r="H98" s="727">
        <f>H85</f>
        <v>40618.839999999997</v>
      </c>
      <c r="I98" s="709">
        <f>I85</f>
        <v>26402.240000000002</v>
      </c>
      <c r="J98" s="728">
        <f>J85</f>
        <v>14216.6</v>
      </c>
      <c r="K98" s="711">
        <f>(J98+I98)</f>
        <v>40618.839999999997</v>
      </c>
    </row>
    <row r="99" spans="1:11" s="712" customFormat="1" ht="12.75" x14ac:dyDescent="0.2">
      <c r="A99" s="721"/>
      <c r="B99" s="729"/>
      <c r="C99" s="722" t="s">
        <v>466</v>
      </c>
      <c r="D99" s="723"/>
      <c r="E99" s="724"/>
      <c r="F99" s="725"/>
      <c r="G99" s="726"/>
      <c r="H99" s="727">
        <f>H91</f>
        <v>11346.57</v>
      </c>
      <c r="I99" s="709">
        <f>I91</f>
        <v>7375.27</v>
      </c>
      <c r="J99" s="728">
        <f>J91</f>
        <v>3971.3</v>
      </c>
      <c r="K99" s="711">
        <f>(J99+I99)</f>
        <v>11346.57</v>
      </c>
    </row>
    <row r="100" spans="1:11" s="571" customFormat="1" ht="12.75" x14ac:dyDescent="0.2">
      <c r="A100" s="614"/>
      <c r="B100" s="615"/>
      <c r="C100" s="616" t="s">
        <v>437</v>
      </c>
      <c r="D100" s="843"/>
      <c r="E100" s="844"/>
      <c r="F100" s="844"/>
      <c r="G100" s="845"/>
      <c r="H100" s="617">
        <f>H96</f>
        <v>62516.2</v>
      </c>
      <c r="I100" s="580">
        <f>I96</f>
        <v>40635.53</v>
      </c>
      <c r="J100" s="618">
        <f>J96</f>
        <v>21880.67</v>
      </c>
      <c r="K100" s="570">
        <f>(J100+I100)</f>
        <v>62516.2</v>
      </c>
    </row>
    <row r="101" spans="1:11" s="494" customFormat="1" ht="12.75" x14ac:dyDescent="0.2">
      <c r="A101" s="703"/>
      <c r="B101" s="502"/>
      <c r="C101" s="503" t="s">
        <v>384</v>
      </c>
      <c r="D101" s="849"/>
      <c r="E101" s="850"/>
      <c r="F101" s="850"/>
      <c r="G101" s="851"/>
      <c r="H101" s="493">
        <f>H100+H97</f>
        <v>114481.61</v>
      </c>
      <c r="I101" s="499">
        <f>(H101*65%)</f>
        <v>74413.05</v>
      </c>
      <c r="J101" s="501">
        <f>(H101*35%)</f>
        <v>40068.559999999998</v>
      </c>
      <c r="K101" s="500">
        <f>(J101+I101)</f>
        <v>114481.61</v>
      </c>
    </row>
    <row r="102" spans="1:11" s="182" customFormat="1" ht="17.25" customHeight="1" thickBot="1" x14ac:dyDescent="0.25">
      <c r="A102" s="425">
        <v>3</v>
      </c>
      <c r="B102" s="165"/>
      <c r="C102" s="227" t="s">
        <v>86</v>
      </c>
      <c r="D102" s="232"/>
      <c r="E102" s="232"/>
      <c r="F102" s="549"/>
      <c r="G102" s="232"/>
      <c r="H102" s="612"/>
      <c r="I102" s="454"/>
      <c r="J102" s="454"/>
      <c r="K102" s="142"/>
    </row>
    <row r="103" spans="1:11" s="182" customFormat="1" ht="23.25" customHeight="1" x14ac:dyDescent="0.2">
      <c r="A103" s="426" t="s">
        <v>125</v>
      </c>
      <c r="B103" s="166"/>
      <c r="C103" s="164" t="s">
        <v>467</v>
      </c>
      <c r="D103" s="610"/>
      <c r="E103" s="610"/>
      <c r="F103" s="610"/>
      <c r="G103" s="610"/>
      <c r="H103" s="611"/>
      <c r="I103" s="585"/>
      <c r="J103" s="585"/>
      <c r="K103" s="142"/>
    </row>
    <row r="104" spans="1:11" s="35" customFormat="1" ht="25.5" x14ac:dyDescent="0.2">
      <c r="A104" s="222" t="s">
        <v>210</v>
      </c>
      <c r="B104" s="250">
        <v>97645</v>
      </c>
      <c r="C104" s="256" t="s">
        <v>103</v>
      </c>
      <c r="D104" s="188" t="s">
        <v>76</v>
      </c>
      <c r="E104" s="223">
        <v>2.2400000000000002</v>
      </c>
      <c r="F104" s="271">
        <v>29.6</v>
      </c>
      <c r="G104" s="221">
        <f>(F104*$E$9)+F104</f>
        <v>37</v>
      </c>
      <c r="H104" s="586">
        <f>E104*G104</f>
        <v>82.88</v>
      </c>
      <c r="I104" s="376">
        <f>(H104*65%)</f>
        <v>53.87</v>
      </c>
      <c r="J104" s="376">
        <f>(H104*35%)</f>
        <v>29.01</v>
      </c>
      <c r="K104" s="312">
        <f>(J104+I104)</f>
        <v>82.88</v>
      </c>
    </row>
    <row r="105" spans="1:11" s="35" customFormat="1" ht="25.5" x14ac:dyDescent="0.2">
      <c r="A105" s="222" t="s">
        <v>211</v>
      </c>
      <c r="B105" s="250">
        <v>94559</v>
      </c>
      <c r="C105" s="256" t="s">
        <v>104</v>
      </c>
      <c r="D105" s="222" t="s">
        <v>76</v>
      </c>
      <c r="E105" s="223">
        <v>4.1399999999999997</v>
      </c>
      <c r="F105" s="190">
        <v>727.7</v>
      </c>
      <c r="G105" s="221">
        <f t="shared" ref="G105" si="25">(F105*$E$9)+F105</f>
        <v>909.63</v>
      </c>
      <c r="H105" s="586">
        <f>E105*G105</f>
        <v>3765.87</v>
      </c>
      <c r="I105" s="376">
        <f>(H105*65%)</f>
        <v>2447.8200000000002</v>
      </c>
      <c r="J105" s="376">
        <f>(H105*35%)</f>
        <v>1318.05</v>
      </c>
      <c r="K105" s="312">
        <f>(J105+I105)</f>
        <v>3765.87</v>
      </c>
    </row>
    <row r="106" spans="1:11" s="35" customFormat="1" ht="12.75" x14ac:dyDescent="0.2">
      <c r="A106" s="276" t="s">
        <v>212</v>
      </c>
      <c r="B106" s="272">
        <v>102151</v>
      </c>
      <c r="C106" s="256" t="s">
        <v>105</v>
      </c>
      <c r="D106" s="222" t="s">
        <v>76</v>
      </c>
      <c r="E106" s="223">
        <v>4.1399999999999997</v>
      </c>
      <c r="F106" s="190">
        <v>128.21</v>
      </c>
      <c r="G106" s="221">
        <f>(F106*$E$9)+F106</f>
        <v>160.26</v>
      </c>
      <c r="H106" s="586">
        <f>E106*G106</f>
        <v>663.48</v>
      </c>
      <c r="I106" s="376">
        <f>(H106*65%)</f>
        <v>431.26</v>
      </c>
      <c r="J106" s="376">
        <f>(H106*35%)</f>
        <v>232.22</v>
      </c>
      <c r="K106" s="312">
        <f>(J106+I106)</f>
        <v>663.48</v>
      </c>
    </row>
    <row r="107" spans="1:11" s="536" customFormat="1" ht="12.75" x14ac:dyDescent="0.2">
      <c r="A107" s="427"/>
      <c r="B107" s="349"/>
      <c r="C107" s="350" t="s">
        <v>362</v>
      </c>
      <c r="D107" s="330"/>
      <c r="E107" s="331"/>
      <c r="F107" s="332"/>
      <c r="G107" s="333"/>
      <c r="H107" s="398">
        <f>SUM(H104:H106)</f>
        <v>4512.2299999999996</v>
      </c>
      <c r="I107" s="418">
        <f>SUM(I104:I106)</f>
        <v>2932.95</v>
      </c>
      <c r="J107" s="418">
        <f>SUM(J104:J106)</f>
        <v>1579.28</v>
      </c>
      <c r="K107" s="312">
        <f>(J107+I107)</f>
        <v>4512.2299999999996</v>
      </c>
    </row>
    <row r="108" spans="1:11" s="182" customFormat="1" ht="23.25" customHeight="1" x14ac:dyDescent="0.2">
      <c r="A108" s="426" t="s">
        <v>126</v>
      </c>
      <c r="B108" s="166"/>
      <c r="C108" s="164" t="s">
        <v>468</v>
      </c>
      <c r="D108" s="610"/>
      <c r="E108" s="610"/>
      <c r="F108" s="610"/>
      <c r="G108" s="610"/>
      <c r="H108" s="611"/>
      <c r="I108" s="585"/>
      <c r="J108" s="585"/>
      <c r="K108" s="142"/>
    </row>
    <row r="109" spans="1:11" s="35" customFormat="1" ht="25.5" x14ac:dyDescent="0.2">
      <c r="A109" s="222" t="s">
        <v>213</v>
      </c>
      <c r="B109" s="250">
        <v>94559</v>
      </c>
      <c r="C109" s="256" t="s">
        <v>104</v>
      </c>
      <c r="D109" s="222" t="s">
        <v>76</v>
      </c>
      <c r="E109" s="223">
        <v>1.8</v>
      </c>
      <c r="F109" s="190">
        <v>727.7</v>
      </c>
      <c r="G109" s="221">
        <f t="shared" ref="G109" si="26">(F109*$E$9)+F109</f>
        <v>909.63</v>
      </c>
      <c r="H109" s="586">
        <f>E109*G109</f>
        <v>1637.33</v>
      </c>
      <c r="I109" s="376">
        <f>(H109*65%)</f>
        <v>1064.26</v>
      </c>
      <c r="J109" s="376">
        <f>(H109*35%)</f>
        <v>573.07000000000005</v>
      </c>
      <c r="K109" s="312">
        <f>(J109+I109)</f>
        <v>1637.33</v>
      </c>
    </row>
    <row r="110" spans="1:11" s="35" customFormat="1" ht="12.75" x14ac:dyDescent="0.2">
      <c r="A110" s="276" t="s">
        <v>214</v>
      </c>
      <c r="B110" s="272">
        <v>102151</v>
      </c>
      <c r="C110" s="256" t="s">
        <v>105</v>
      </c>
      <c r="D110" s="222" t="s">
        <v>76</v>
      </c>
      <c r="E110" s="223">
        <v>1.8</v>
      </c>
      <c r="F110" s="190">
        <v>128.21</v>
      </c>
      <c r="G110" s="221">
        <f>(F110*$E$9)+F110</f>
        <v>160.26</v>
      </c>
      <c r="H110" s="586">
        <f>E110*G110</f>
        <v>288.47000000000003</v>
      </c>
      <c r="I110" s="376">
        <f>(H110*65%)</f>
        <v>187.51</v>
      </c>
      <c r="J110" s="376">
        <f>(H110*35%)</f>
        <v>100.96</v>
      </c>
      <c r="K110" s="312">
        <f>(J110+I110)</f>
        <v>288.47000000000003</v>
      </c>
    </row>
    <row r="111" spans="1:11" s="536" customFormat="1" ht="12.75" x14ac:dyDescent="0.2">
      <c r="A111" s="427"/>
      <c r="B111" s="349"/>
      <c r="C111" s="350" t="s">
        <v>362</v>
      </c>
      <c r="D111" s="330"/>
      <c r="E111" s="331"/>
      <c r="F111" s="332"/>
      <c r="G111" s="333"/>
      <c r="H111" s="398">
        <f>SUM(H109:H110)</f>
        <v>1925.8</v>
      </c>
      <c r="I111" s="418">
        <f>SUM(I109:I110)</f>
        <v>1251.77</v>
      </c>
      <c r="J111" s="418">
        <f>SUM(J109:J110)</f>
        <v>674.03</v>
      </c>
      <c r="K111" s="312">
        <f>(J111+I111)</f>
        <v>1925.8</v>
      </c>
    </row>
    <row r="112" spans="1:11" s="35" customFormat="1" ht="12.75" x14ac:dyDescent="0.2">
      <c r="A112" s="426" t="s">
        <v>263</v>
      </c>
      <c r="B112" s="166"/>
      <c r="C112" s="164" t="s">
        <v>382</v>
      </c>
      <c r="D112" s="610"/>
      <c r="E112" s="610"/>
      <c r="F112" s="610"/>
      <c r="G112" s="610"/>
      <c r="H112" s="611"/>
      <c r="I112" s="907"/>
      <c r="J112" s="907"/>
      <c r="K112" s="142"/>
    </row>
    <row r="113" spans="1:11" s="35" customFormat="1" ht="36.75" customHeight="1" x14ac:dyDescent="0.2">
      <c r="A113" s="222" t="s">
        <v>264</v>
      </c>
      <c r="B113" s="250">
        <v>94559</v>
      </c>
      <c r="C113" s="256" t="s">
        <v>104</v>
      </c>
      <c r="D113" s="222" t="s">
        <v>76</v>
      </c>
      <c r="E113" s="223">
        <v>14.4</v>
      </c>
      <c r="F113" s="190">
        <v>727.7</v>
      </c>
      <c r="G113" s="221">
        <f t="shared" ref="G113" si="27">(F113*$E$9)+F113</f>
        <v>909.63</v>
      </c>
      <c r="H113" s="586">
        <f>E113*G113</f>
        <v>13098.67</v>
      </c>
      <c r="I113" s="376">
        <f>(H113*65%)</f>
        <v>8514.14</v>
      </c>
      <c r="J113" s="376">
        <f>(H113*35%)</f>
        <v>4584.53</v>
      </c>
      <c r="K113" s="312">
        <f>(J113+I113)</f>
        <v>13098.67</v>
      </c>
    </row>
    <row r="114" spans="1:11" s="35" customFormat="1" ht="63.75" x14ac:dyDescent="0.2">
      <c r="A114" s="222" t="s">
        <v>265</v>
      </c>
      <c r="B114" s="250">
        <v>94569</v>
      </c>
      <c r="C114" s="256" t="s">
        <v>215</v>
      </c>
      <c r="D114" s="222" t="s">
        <v>76</v>
      </c>
      <c r="E114" s="223">
        <v>4</v>
      </c>
      <c r="F114" s="190">
        <v>810.08</v>
      </c>
      <c r="G114" s="221">
        <f>(F114*$E$9)+F114</f>
        <v>1012.6</v>
      </c>
      <c r="H114" s="586">
        <f>E114*G114</f>
        <v>4050.4</v>
      </c>
      <c r="I114" s="376">
        <f>(H114*65%)</f>
        <v>2632.76</v>
      </c>
      <c r="J114" s="376">
        <f>(H114*35%)</f>
        <v>1417.64</v>
      </c>
      <c r="K114" s="312">
        <f>(J114+I114)</f>
        <v>4050.4</v>
      </c>
    </row>
    <row r="115" spans="1:11" s="35" customFormat="1" ht="12.95" customHeight="1" x14ac:dyDescent="0.2">
      <c r="A115" s="276" t="s">
        <v>266</v>
      </c>
      <c r="B115" s="272">
        <v>102151</v>
      </c>
      <c r="C115" s="256" t="s">
        <v>105</v>
      </c>
      <c r="D115" s="222" t="s">
        <v>76</v>
      </c>
      <c r="E115" s="223">
        <v>14.4</v>
      </c>
      <c r="F115" s="190">
        <v>128.21</v>
      </c>
      <c r="G115" s="221">
        <f>(F115*$E$9)+F115</f>
        <v>160.26</v>
      </c>
      <c r="H115" s="586">
        <f>E115*G115</f>
        <v>2307.7399999999998</v>
      </c>
      <c r="I115" s="376">
        <f>(H115*65%)</f>
        <v>1500.03</v>
      </c>
      <c r="J115" s="376">
        <f>(H115*35%)</f>
        <v>807.71</v>
      </c>
      <c r="K115" s="312">
        <f>(J115+I115)</f>
        <v>2307.7399999999998</v>
      </c>
    </row>
    <row r="116" spans="1:11" s="536" customFormat="1" ht="16.5" customHeight="1" x14ac:dyDescent="0.2">
      <c r="A116" s="352"/>
      <c r="B116" s="228"/>
      <c r="C116" s="351" t="s">
        <v>362</v>
      </c>
      <c r="D116" s="330"/>
      <c r="E116" s="331"/>
      <c r="F116" s="332"/>
      <c r="G116" s="333"/>
      <c r="H116" s="398">
        <f>SUM(H113:H115)</f>
        <v>19456.810000000001</v>
      </c>
      <c r="I116" s="399">
        <f>SUM(I113:I115)</f>
        <v>12646.93</v>
      </c>
      <c r="J116" s="418">
        <f>SUM(J113:J115)</f>
        <v>6809.88</v>
      </c>
      <c r="K116" s="312">
        <f>(J116+I116)</f>
        <v>19456.810000000001</v>
      </c>
    </row>
    <row r="117" spans="1:11" s="182" customFormat="1" ht="12.75" x14ac:dyDescent="0.2">
      <c r="A117" s="661"/>
      <c r="B117" s="662"/>
      <c r="C117" s="663" t="s">
        <v>438</v>
      </c>
      <c r="D117" s="532"/>
      <c r="E117" s="664"/>
      <c r="F117" s="665"/>
      <c r="G117" s="666"/>
      <c r="H117" s="534">
        <f>H111+H107</f>
        <v>6438.03</v>
      </c>
      <c r="I117" s="667">
        <f>I111+I107</f>
        <v>4184.72</v>
      </c>
      <c r="J117" s="556">
        <f>J111+J107</f>
        <v>2253.31</v>
      </c>
      <c r="K117" s="181">
        <f>(J117+I117)</f>
        <v>6438.03</v>
      </c>
    </row>
    <row r="118" spans="1:11" s="712" customFormat="1" ht="12.75" x14ac:dyDescent="0.2">
      <c r="A118" s="730"/>
      <c r="B118" s="731"/>
      <c r="C118" s="732" t="s">
        <v>469</v>
      </c>
      <c r="D118" s="706"/>
      <c r="E118" s="733"/>
      <c r="F118" s="734"/>
      <c r="G118" s="735"/>
      <c r="H118" s="736">
        <f>H107</f>
        <v>4512.2299999999996</v>
      </c>
      <c r="I118" s="709">
        <f>I107</f>
        <v>2932.95</v>
      </c>
      <c r="J118" s="737">
        <f>J107</f>
        <v>1579.28</v>
      </c>
      <c r="K118" s="711">
        <f>(J118+I118)</f>
        <v>4512.2299999999996</v>
      </c>
    </row>
    <row r="119" spans="1:11" s="712" customFormat="1" ht="12.75" x14ac:dyDescent="0.2">
      <c r="A119" s="730"/>
      <c r="B119" s="731"/>
      <c r="C119" s="732" t="s">
        <v>466</v>
      </c>
      <c r="D119" s="706"/>
      <c r="E119" s="733"/>
      <c r="F119" s="734"/>
      <c r="G119" s="735"/>
      <c r="H119" s="736">
        <f>H111</f>
        <v>1925.8</v>
      </c>
      <c r="I119" s="709">
        <f>I111</f>
        <v>1251.77</v>
      </c>
      <c r="J119" s="737">
        <f>J111</f>
        <v>674.03</v>
      </c>
      <c r="K119" s="711">
        <f>(J119+I119)</f>
        <v>1925.8</v>
      </c>
    </row>
    <row r="120" spans="1:11" s="571" customFormat="1" ht="16.5" customHeight="1" x14ac:dyDescent="0.2">
      <c r="A120" s="619"/>
      <c r="B120" s="620"/>
      <c r="C120" s="621" t="s">
        <v>439</v>
      </c>
      <c r="D120" s="565"/>
      <c r="E120" s="622"/>
      <c r="F120" s="623"/>
      <c r="G120" s="624"/>
      <c r="H120" s="568">
        <f>H113+H114+H115</f>
        <v>19456.810000000001</v>
      </c>
      <c r="I120" s="625">
        <f>I116</f>
        <v>12646.93</v>
      </c>
      <c r="J120" s="580">
        <f>J116</f>
        <v>6809.88</v>
      </c>
      <c r="K120" s="570">
        <f>(J120+I120)</f>
        <v>19456.810000000001</v>
      </c>
    </row>
    <row r="121" spans="1:11" s="494" customFormat="1" ht="16.5" customHeight="1" x14ac:dyDescent="0.2">
      <c r="A121" s="704"/>
      <c r="B121" s="508"/>
      <c r="C121" s="543" t="s">
        <v>383</v>
      </c>
      <c r="D121" s="490"/>
      <c r="E121" s="544"/>
      <c r="F121" s="545"/>
      <c r="G121" s="546"/>
      <c r="H121" s="493">
        <f>H117+H120</f>
        <v>25894.84</v>
      </c>
      <c r="I121" s="501">
        <f>I117+I120</f>
        <v>16831.650000000001</v>
      </c>
      <c r="J121" s="501">
        <f>J117+J120</f>
        <v>9063.19</v>
      </c>
      <c r="K121" s="547">
        <f>(J121+I121)</f>
        <v>25894.84</v>
      </c>
    </row>
    <row r="122" spans="1:11" s="35" customFormat="1" ht="18" customHeight="1" x14ac:dyDescent="0.2">
      <c r="A122" s="249" t="s">
        <v>267</v>
      </c>
      <c r="B122" s="167"/>
      <c r="C122" s="163" t="s">
        <v>470</v>
      </c>
      <c r="D122" s="225"/>
      <c r="E122" s="225"/>
      <c r="F122" s="225"/>
      <c r="G122" s="225"/>
      <c r="H122" s="404"/>
      <c r="I122" s="585"/>
      <c r="J122" s="585"/>
      <c r="K122" s="142"/>
    </row>
    <row r="123" spans="1:11" s="35" customFormat="1" ht="37.5" customHeight="1" x14ac:dyDescent="0.2">
      <c r="A123" s="188" t="s">
        <v>268</v>
      </c>
      <c r="B123" s="273">
        <v>97644</v>
      </c>
      <c r="C123" s="274" t="s">
        <v>87</v>
      </c>
      <c r="D123" s="459" t="s">
        <v>76</v>
      </c>
      <c r="E123" s="296">
        <v>6.3</v>
      </c>
      <c r="F123" s="285">
        <v>7.85</v>
      </c>
      <c r="G123" s="460">
        <f>(F123*$E$9)+F123</f>
        <v>9.81</v>
      </c>
      <c r="H123" s="576">
        <f>E123*G123</f>
        <v>61.8</v>
      </c>
      <c r="I123" s="376">
        <f t="shared" ref="I123:I127" si="28">(H123*65%)</f>
        <v>40.17</v>
      </c>
      <c r="J123" s="390">
        <f>(H123*35%)</f>
        <v>21.63</v>
      </c>
      <c r="K123" s="312">
        <f>(J123+I123)</f>
        <v>61.8</v>
      </c>
    </row>
    <row r="124" spans="1:11" s="35" customFormat="1" ht="38.25" x14ac:dyDescent="0.2">
      <c r="A124" s="188" t="s">
        <v>269</v>
      </c>
      <c r="B124" s="273">
        <v>90820</v>
      </c>
      <c r="C124" s="256" t="s">
        <v>150</v>
      </c>
      <c r="D124" s="276" t="s">
        <v>50</v>
      </c>
      <c r="E124" s="277">
        <v>1</v>
      </c>
      <c r="F124" s="278">
        <v>348.72</v>
      </c>
      <c r="G124" s="279">
        <f>(F124*$E$9)+F124</f>
        <v>435.9</v>
      </c>
      <c r="H124" s="588">
        <f>E124*G124</f>
        <v>435.9</v>
      </c>
      <c r="I124" s="376">
        <f t="shared" si="28"/>
        <v>283.33999999999997</v>
      </c>
      <c r="J124" s="390">
        <f>(H124*35%)</f>
        <v>152.57</v>
      </c>
      <c r="K124" s="312">
        <f>(J124+I124)</f>
        <v>435.91</v>
      </c>
    </row>
    <row r="125" spans="1:11" s="35" customFormat="1" ht="38.25" x14ac:dyDescent="0.2">
      <c r="A125" s="222" t="s">
        <v>270</v>
      </c>
      <c r="B125" s="250">
        <v>90822</v>
      </c>
      <c r="C125" s="256" t="s">
        <v>149</v>
      </c>
      <c r="D125" s="188" t="s">
        <v>50</v>
      </c>
      <c r="E125" s="280">
        <v>2</v>
      </c>
      <c r="F125" s="281">
        <v>378.84</v>
      </c>
      <c r="G125" s="221">
        <f>(F125*$E$9)+F125</f>
        <v>473.55</v>
      </c>
      <c r="H125" s="586">
        <f>E125*G125</f>
        <v>947.1</v>
      </c>
      <c r="I125" s="376">
        <f t="shared" si="28"/>
        <v>615.62</v>
      </c>
      <c r="J125" s="390">
        <f>H125*35%</f>
        <v>331.49</v>
      </c>
      <c r="K125" s="312">
        <f>(J125+I125)</f>
        <v>947.11</v>
      </c>
    </row>
    <row r="126" spans="1:11" s="35" customFormat="1" ht="36.75" customHeight="1" x14ac:dyDescent="0.2">
      <c r="A126" s="188" t="s">
        <v>271</v>
      </c>
      <c r="B126" s="250">
        <v>91307</v>
      </c>
      <c r="C126" s="256" t="s">
        <v>120</v>
      </c>
      <c r="D126" s="276" t="s">
        <v>50</v>
      </c>
      <c r="E126" s="282">
        <v>2</v>
      </c>
      <c r="F126" s="278">
        <v>79.37</v>
      </c>
      <c r="G126" s="283">
        <f>(F126*$E$9)+F126</f>
        <v>99.21</v>
      </c>
      <c r="H126" s="589">
        <f>E126*G126</f>
        <v>198.42</v>
      </c>
      <c r="I126" s="455">
        <f>(H126*65%)</f>
        <v>128.97</v>
      </c>
      <c r="J126" s="400">
        <f>H126*35%</f>
        <v>69.45</v>
      </c>
      <c r="K126" s="312">
        <f>(J126+I126)</f>
        <v>198.42</v>
      </c>
    </row>
    <row r="127" spans="1:11" s="35" customFormat="1" ht="12.95" customHeight="1" x14ac:dyDescent="0.2">
      <c r="A127" s="222" t="s">
        <v>526</v>
      </c>
      <c r="B127" s="250">
        <v>91304</v>
      </c>
      <c r="C127" s="256" t="s">
        <v>121</v>
      </c>
      <c r="D127" s="276" t="s">
        <v>50</v>
      </c>
      <c r="E127" s="284">
        <v>4</v>
      </c>
      <c r="F127" s="285">
        <v>93.12</v>
      </c>
      <c r="G127" s="221">
        <f>(F127*$E$9)+F127</f>
        <v>116.4</v>
      </c>
      <c r="H127" s="586">
        <f>E127*G127</f>
        <v>465.6</v>
      </c>
      <c r="I127" s="376">
        <f>(H127*65%)</f>
        <v>302.64</v>
      </c>
      <c r="J127" s="390">
        <f>H127*35%</f>
        <v>162.96</v>
      </c>
      <c r="K127" s="312">
        <f>(J127+I127)</f>
        <v>465.6</v>
      </c>
    </row>
    <row r="128" spans="1:11" s="536" customFormat="1" ht="12.75" x14ac:dyDescent="0.2">
      <c r="A128" s="424"/>
      <c r="B128" s="343"/>
      <c r="C128" s="355" t="s">
        <v>362</v>
      </c>
      <c r="D128" s="352"/>
      <c r="E128" s="353"/>
      <c r="F128" s="354"/>
      <c r="G128" s="333"/>
      <c r="H128" s="398">
        <f>SUM(H123:H127)</f>
        <v>2108.8200000000002</v>
      </c>
      <c r="I128" s="418">
        <f>SUM(I123:I127)</f>
        <v>1370.74</v>
      </c>
      <c r="J128" s="396">
        <f>SUM(J123:J127)</f>
        <v>738.1</v>
      </c>
      <c r="K128" s="312">
        <f>(J128+I128)</f>
        <v>2108.84</v>
      </c>
    </row>
    <row r="129" spans="1:12" s="35" customFormat="1" ht="13.5" thickBot="1" x14ac:dyDescent="0.25">
      <c r="A129" s="428" t="s">
        <v>527</v>
      </c>
      <c r="B129" s="245"/>
      <c r="C129" s="246" t="s">
        <v>385</v>
      </c>
      <c r="D129" s="225"/>
      <c r="E129" s="225"/>
      <c r="F129" s="225"/>
      <c r="G129" s="225"/>
      <c r="H129" s="404"/>
      <c r="I129" s="585"/>
      <c r="J129" s="585"/>
      <c r="K129" s="247"/>
    </row>
    <row r="130" spans="1:12" s="35" customFormat="1" ht="38.25" x14ac:dyDescent="0.2">
      <c r="A130" s="188" t="s">
        <v>528</v>
      </c>
      <c r="B130" s="273">
        <v>90820</v>
      </c>
      <c r="C130" s="256" t="s">
        <v>150</v>
      </c>
      <c r="D130" s="276" t="s">
        <v>50</v>
      </c>
      <c r="E130" s="277">
        <v>2</v>
      </c>
      <c r="F130" s="278">
        <v>348.72</v>
      </c>
      <c r="G130" s="279">
        <f>(F130*$E$9)+F130</f>
        <v>435.9</v>
      </c>
      <c r="H130" s="588">
        <f>E130*G130</f>
        <v>871.8</v>
      </c>
      <c r="I130" s="376">
        <f t="shared" ref="I130:I132" si="29">(H130*65%)</f>
        <v>566.66999999999996</v>
      </c>
      <c r="J130" s="390">
        <f>(H130*35%)</f>
        <v>305.13</v>
      </c>
      <c r="K130" s="312">
        <f>(J130+I130)</f>
        <v>871.8</v>
      </c>
    </row>
    <row r="131" spans="1:12" s="248" customFormat="1" ht="38.25" x14ac:dyDescent="0.2">
      <c r="A131" s="188" t="s">
        <v>529</v>
      </c>
      <c r="B131" s="250">
        <v>91307</v>
      </c>
      <c r="C131" s="256" t="s">
        <v>120</v>
      </c>
      <c r="D131" s="276" t="s">
        <v>50</v>
      </c>
      <c r="E131" s="282">
        <v>2</v>
      </c>
      <c r="F131" s="278">
        <v>79.37</v>
      </c>
      <c r="G131" s="283">
        <f>(F131*$E$9)+F131</f>
        <v>99.21</v>
      </c>
      <c r="H131" s="589">
        <f>E131*G131</f>
        <v>198.42</v>
      </c>
      <c r="I131" s="455">
        <f t="shared" si="29"/>
        <v>128.97</v>
      </c>
      <c r="J131" s="400">
        <f>H131*35%</f>
        <v>69.45</v>
      </c>
      <c r="K131" s="312">
        <f>(J131+I131)</f>
        <v>198.42</v>
      </c>
    </row>
    <row r="132" spans="1:12" s="35" customFormat="1" ht="36.75" customHeight="1" x14ac:dyDescent="0.2">
      <c r="A132" s="222" t="s">
        <v>530</v>
      </c>
      <c r="B132" s="250">
        <v>91304</v>
      </c>
      <c r="C132" s="256" t="s">
        <v>121</v>
      </c>
      <c r="D132" s="276" t="s">
        <v>50</v>
      </c>
      <c r="E132" s="284">
        <v>2</v>
      </c>
      <c r="F132" s="285">
        <v>93.12</v>
      </c>
      <c r="G132" s="221">
        <f>(F132*$E$9)+F132</f>
        <v>116.4</v>
      </c>
      <c r="H132" s="586">
        <f>E132*G132</f>
        <v>232.8</v>
      </c>
      <c r="I132" s="376">
        <f t="shared" si="29"/>
        <v>151.32</v>
      </c>
      <c r="J132" s="390">
        <f>H132*35%</f>
        <v>81.48</v>
      </c>
      <c r="K132" s="312">
        <f>(J132+I132)</f>
        <v>232.8</v>
      </c>
    </row>
    <row r="133" spans="1:12" s="35" customFormat="1" ht="12.95" customHeight="1" x14ac:dyDescent="0.2">
      <c r="A133" s="429" t="s">
        <v>531</v>
      </c>
      <c r="B133" s="250">
        <v>90823</v>
      </c>
      <c r="C133" s="256" t="s">
        <v>217</v>
      </c>
      <c r="D133" s="188" t="s">
        <v>50</v>
      </c>
      <c r="E133" s="280">
        <v>2</v>
      </c>
      <c r="F133" s="281">
        <v>463.54</v>
      </c>
      <c r="G133" s="221">
        <f>(F133*$E$9)+F133</f>
        <v>579.42999999999995</v>
      </c>
      <c r="H133" s="586">
        <f>E133*G133</f>
        <v>1158.8599999999999</v>
      </c>
      <c r="I133" s="376">
        <f>(H133*65%)</f>
        <v>753.26</v>
      </c>
      <c r="J133" s="390">
        <f>(H133*35%)</f>
        <v>405.6</v>
      </c>
      <c r="K133" s="312">
        <f>(J133+I133)</f>
        <v>1158.8599999999999</v>
      </c>
    </row>
    <row r="134" spans="1:12" s="536" customFormat="1" ht="12.75" x14ac:dyDescent="0.2">
      <c r="A134" s="430"/>
      <c r="B134" s="265"/>
      <c r="C134" s="356" t="s">
        <v>440</v>
      </c>
      <c r="D134" s="909"/>
      <c r="E134" s="910"/>
      <c r="F134" s="910"/>
      <c r="G134" s="911"/>
      <c r="H134" s="401">
        <f>SUM(H130:H133)</f>
        <v>2461.88</v>
      </c>
      <c r="I134" s="418">
        <f>SUM(I130:I133)</f>
        <v>1600.22</v>
      </c>
      <c r="J134" s="396">
        <f>SUM(J130:J133)</f>
        <v>861.66</v>
      </c>
      <c r="K134" s="312">
        <f>(J134+I134)</f>
        <v>2461.88</v>
      </c>
    </row>
    <row r="135" spans="1:12" s="182" customFormat="1" ht="12.75" x14ac:dyDescent="0.2">
      <c r="A135" s="554"/>
      <c r="B135" s="562"/>
      <c r="C135" s="668" t="s">
        <v>471</v>
      </c>
      <c r="D135" s="846"/>
      <c r="E135" s="847"/>
      <c r="F135" s="847"/>
      <c r="G135" s="848"/>
      <c r="H135" s="578">
        <f>H123+H124+H125+H126+H127</f>
        <v>2108.8200000000002</v>
      </c>
      <c r="I135" s="556">
        <f>(H135*65%)</f>
        <v>1370.73</v>
      </c>
      <c r="J135" s="555">
        <f>(H135*35%)</f>
        <v>738.09</v>
      </c>
      <c r="K135" s="181">
        <f>(J135+I135)</f>
        <v>2108.8200000000002</v>
      </c>
    </row>
    <row r="136" spans="1:12" s="571" customFormat="1" ht="12.75" x14ac:dyDescent="0.2">
      <c r="A136" s="627"/>
      <c r="B136" s="628"/>
      <c r="C136" s="629" t="s">
        <v>441</v>
      </c>
      <c r="D136" s="843"/>
      <c r="E136" s="844"/>
      <c r="F136" s="844"/>
      <c r="G136" s="845"/>
      <c r="H136" s="630">
        <f>H130+H131+H132+H133</f>
        <v>2461.88</v>
      </c>
      <c r="I136" s="580">
        <f>(H136*65%)</f>
        <v>1600.22</v>
      </c>
      <c r="J136" s="626">
        <f>(H136*35%)</f>
        <v>861.66</v>
      </c>
      <c r="K136" s="570">
        <f>(J136+I136)</f>
        <v>2461.88</v>
      </c>
    </row>
    <row r="137" spans="1:12" s="494" customFormat="1" ht="12.75" x14ac:dyDescent="0.2">
      <c r="A137" s="504"/>
      <c r="B137" s="511"/>
      <c r="C137" s="705" t="s">
        <v>386</v>
      </c>
      <c r="D137" s="849"/>
      <c r="E137" s="850"/>
      <c r="F137" s="850"/>
      <c r="G137" s="851"/>
      <c r="H137" s="601">
        <f>H134+H128</f>
        <v>4570.7</v>
      </c>
      <c r="I137" s="501">
        <f>I134+I128</f>
        <v>2970.96</v>
      </c>
      <c r="J137" s="501">
        <f>J134+J128</f>
        <v>1599.76</v>
      </c>
      <c r="K137" s="547">
        <f>(J137+I137)</f>
        <v>4570.72</v>
      </c>
    </row>
    <row r="138" spans="1:12" s="35" customFormat="1" ht="13.5" thickBot="1" x14ac:dyDescent="0.25">
      <c r="A138" s="431" t="s">
        <v>272</v>
      </c>
      <c r="B138" s="168"/>
      <c r="C138" s="141" t="s">
        <v>80</v>
      </c>
      <c r="D138" s="607"/>
      <c r="E138" s="607"/>
      <c r="F138" s="607"/>
      <c r="G138" s="607"/>
      <c r="H138" s="607"/>
      <c r="I138" s="591"/>
      <c r="J138" s="591"/>
      <c r="K138" s="177"/>
    </row>
    <row r="139" spans="1:12" s="77" customFormat="1" ht="18.75" customHeight="1" thickBot="1" x14ac:dyDescent="0.25">
      <c r="A139" s="428" t="s">
        <v>90</v>
      </c>
      <c r="B139" s="245"/>
      <c r="C139" s="246" t="s">
        <v>472</v>
      </c>
      <c r="D139" s="225"/>
      <c r="E139" s="225"/>
      <c r="F139" s="225"/>
      <c r="G139" s="225"/>
      <c r="H139" s="404"/>
      <c r="I139" s="585"/>
      <c r="J139" s="585"/>
      <c r="K139" s="247"/>
      <c r="L139" s="35"/>
    </row>
    <row r="140" spans="1:12" s="77" customFormat="1" ht="25.5" x14ac:dyDescent="0.2">
      <c r="A140" s="432" t="s">
        <v>192</v>
      </c>
      <c r="B140" s="286">
        <v>97647</v>
      </c>
      <c r="C140" s="287" t="s">
        <v>106</v>
      </c>
      <c r="D140" s="222" t="s">
        <v>76</v>
      </c>
      <c r="E140" s="223">
        <v>357.38</v>
      </c>
      <c r="F140" s="190">
        <v>2.95</v>
      </c>
      <c r="G140" s="221">
        <f t="shared" ref="G140" si="30">(F140*$E$9)+F140</f>
        <v>3.69</v>
      </c>
      <c r="H140" s="586">
        <f t="shared" ref="H140:H154" si="31">E140*G140</f>
        <v>1318.73</v>
      </c>
      <c r="I140" s="376">
        <f t="shared" ref="I140:I154" si="32">(H140*65%)</f>
        <v>857.17</v>
      </c>
      <c r="J140" s="390">
        <f>(H140*35%)</f>
        <v>461.56</v>
      </c>
      <c r="K140" s="312">
        <f>(J140+I140)</f>
        <v>1318.73</v>
      </c>
    </row>
    <row r="141" spans="1:12" s="248" customFormat="1" ht="25.5" x14ac:dyDescent="0.2">
      <c r="A141" s="433" t="s">
        <v>193</v>
      </c>
      <c r="B141" s="288">
        <v>97650</v>
      </c>
      <c r="C141" s="289" t="s">
        <v>107</v>
      </c>
      <c r="D141" s="290" t="s">
        <v>76</v>
      </c>
      <c r="E141" s="223">
        <v>357.38</v>
      </c>
      <c r="F141" s="285">
        <v>6.36</v>
      </c>
      <c r="G141" s="221">
        <f t="shared" ref="G141:G154" si="33">(F141*$E$9)+F141</f>
        <v>7.95</v>
      </c>
      <c r="H141" s="586">
        <f t="shared" si="31"/>
        <v>2841.17</v>
      </c>
      <c r="I141" s="376">
        <f t="shared" si="32"/>
        <v>1846.76</v>
      </c>
      <c r="J141" s="390">
        <f>(H141*35%)</f>
        <v>994.41</v>
      </c>
      <c r="K141" s="312">
        <f>(J141+I141)</f>
        <v>2841.17</v>
      </c>
    </row>
    <row r="142" spans="1:12" s="77" customFormat="1" ht="25.5" x14ac:dyDescent="0.2">
      <c r="A142" s="290" t="s">
        <v>194</v>
      </c>
      <c r="B142" s="250">
        <v>97652</v>
      </c>
      <c r="C142" s="289" t="s">
        <v>108</v>
      </c>
      <c r="D142" s="222" t="s">
        <v>50</v>
      </c>
      <c r="E142" s="223">
        <v>8</v>
      </c>
      <c r="F142" s="190">
        <v>159.66999999999999</v>
      </c>
      <c r="G142" s="221">
        <f t="shared" si="33"/>
        <v>199.59</v>
      </c>
      <c r="H142" s="586">
        <f t="shared" si="31"/>
        <v>1596.72</v>
      </c>
      <c r="I142" s="376">
        <f t="shared" si="32"/>
        <v>1037.8699999999999</v>
      </c>
      <c r="J142" s="390">
        <f>(H142*35%)</f>
        <v>558.85</v>
      </c>
      <c r="K142" s="312">
        <f>(J142+I142)</f>
        <v>1596.72</v>
      </c>
    </row>
    <row r="143" spans="1:12" s="180" customFormat="1" ht="38.25" x14ac:dyDescent="0.2">
      <c r="A143" s="222" t="s">
        <v>204</v>
      </c>
      <c r="B143" s="250">
        <v>92256</v>
      </c>
      <c r="C143" s="256" t="s">
        <v>165</v>
      </c>
      <c r="D143" s="222" t="s">
        <v>50</v>
      </c>
      <c r="E143" s="223">
        <v>6</v>
      </c>
      <c r="F143" s="285">
        <v>205.71</v>
      </c>
      <c r="G143" s="221">
        <f t="shared" si="33"/>
        <v>257.14</v>
      </c>
      <c r="H143" s="586">
        <f t="shared" si="31"/>
        <v>1542.84</v>
      </c>
      <c r="I143" s="376">
        <f t="shared" si="32"/>
        <v>1002.85</v>
      </c>
      <c r="J143" s="390">
        <f>H143*35%</f>
        <v>539.99</v>
      </c>
      <c r="K143" s="312">
        <f>(J143+I143)</f>
        <v>1542.84</v>
      </c>
      <c r="L143" s="77"/>
    </row>
    <row r="144" spans="1:12" s="180" customFormat="1" ht="38.25" x14ac:dyDescent="0.2">
      <c r="A144" s="222" t="s">
        <v>273</v>
      </c>
      <c r="B144" s="250">
        <v>92257</v>
      </c>
      <c r="C144" s="256" t="s">
        <v>574</v>
      </c>
      <c r="D144" s="222" t="s">
        <v>50</v>
      </c>
      <c r="E144" s="223">
        <v>5</v>
      </c>
      <c r="F144" s="285">
        <v>244.74</v>
      </c>
      <c r="G144" s="221">
        <f t="shared" si="33"/>
        <v>305.93</v>
      </c>
      <c r="H144" s="586">
        <f t="shared" si="31"/>
        <v>1529.65</v>
      </c>
      <c r="I144" s="376">
        <f t="shared" si="32"/>
        <v>994.27</v>
      </c>
      <c r="J144" s="390">
        <f>H144*35%</f>
        <v>535.38</v>
      </c>
      <c r="K144" s="312">
        <f>(J144+I144)</f>
        <v>1529.65</v>
      </c>
      <c r="L144" s="77"/>
    </row>
    <row r="145" spans="1:12" s="180" customFormat="1" ht="38.25" x14ac:dyDescent="0.2">
      <c r="A145" s="429" t="s">
        <v>274</v>
      </c>
      <c r="B145" s="250">
        <v>92258</v>
      </c>
      <c r="C145" s="256" t="s">
        <v>575</v>
      </c>
      <c r="D145" s="222" t="s">
        <v>50</v>
      </c>
      <c r="E145" s="223">
        <v>2</v>
      </c>
      <c r="F145" s="285">
        <v>307.48</v>
      </c>
      <c r="G145" s="221">
        <f t="shared" si="33"/>
        <v>384.35</v>
      </c>
      <c r="H145" s="586">
        <f t="shared" si="31"/>
        <v>768.7</v>
      </c>
      <c r="I145" s="376">
        <f t="shared" si="32"/>
        <v>499.66</v>
      </c>
      <c r="J145" s="390">
        <f>(H145*35%)</f>
        <v>269.05</v>
      </c>
      <c r="K145" s="312">
        <f>(J145+I145)</f>
        <v>768.71</v>
      </c>
      <c r="L145" s="77"/>
    </row>
    <row r="146" spans="1:12" s="180" customFormat="1" ht="38.25" x14ac:dyDescent="0.2">
      <c r="A146" s="429" t="s">
        <v>275</v>
      </c>
      <c r="B146" s="250">
        <v>92580</v>
      </c>
      <c r="C146" s="256" t="s">
        <v>573</v>
      </c>
      <c r="D146" s="222" t="s">
        <v>76</v>
      </c>
      <c r="E146" s="223">
        <v>378.7</v>
      </c>
      <c r="F146" s="285">
        <v>67.790000000000006</v>
      </c>
      <c r="G146" s="221">
        <f t="shared" si="33"/>
        <v>84.74</v>
      </c>
      <c r="H146" s="586">
        <f t="shared" si="31"/>
        <v>32091.040000000001</v>
      </c>
      <c r="I146" s="376">
        <f>(H146*65%)</f>
        <v>20859.18</v>
      </c>
      <c r="J146" s="390">
        <f>(H146*35%)</f>
        <v>11231.86</v>
      </c>
      <c r="K146" s="312">
        <f>(J146+I146)</f>
        <v>32091.040000000001</v>
      </c>
      <c r="L146" s="77"/>
    </row>
    <row r="147" spans="1:12" s="77" customFormat="1" ht="25.5" x14ac:dyDescent="0.2">
      <c r="A147" s="432" t="s">
        <v>276</v>
      </c>
      <c r="B147" s="250">
        <v>94216</v>
      </c>
      <c r="C147" s="252" t="s">
        <v>222</v>
      </c>
      <c r="D147" s="290" t="s">
        <v>76</v>
      </c>
      <c r="E147" s="291">
        <v>378.7</v>
      </c>
      <c r="F147" s="285">
        <v>256.86</v>
      </c>
      <c r="G147" s="221">
        <f t="shared" si="33"/>
        <v>321.08</v>
      </c>
      <c r="H147" s="586">
        <f t="shared" si="31"/>
        <v>121593</v>
      </c>
      <c r="I147" s="376">
        <f t="shared" si="32"/>
        <v>79035.45</v>
      </c>
      <c r="J147" s="390">
        <f>(H147*35%)</f>
        <v>42557.55</v>
      </c>
      <c r="K147" s="312">
        <f>(J147+I147)</f>
        <v>121593</v>
      </c>
      <c r="L147" s="180"/>
    </row>
    <row r="148" spans="1:12" s="36" customFormat="1" ht="21" customHeight="1" x14ac:dyDescent="0.2">
      <c r="A148" s="290" t="s">
        <v>277</v>
      </c>
      <c r="B148" s="250">
        <v>94223</v>
      </c>
      <c r="C148" s="251" t="s">
        <v>153</v>
      </c>
      <c r="D148" s="290" t="s">
        <v>81</v>
      </c>
      <c r="E148" s="291">
        <v>31.82</v>
      </c>
      <c r="F148" s="285">
        <v>82.63</v>
      </c>
      <c r="G148" s="221">
        <f t="shared" si="33"/>
        <v>103.29</v>
      </c>
      <c r="H148" s="586">
        <f t="shared" si="31"/>
        <v>3286.69</v>
      </c>
      <c r="I148" s="376">
        <f t="shared" si="32"/>
        <v>2136.35</v>
      </c>
      <c r="J148" s="390">
        <f t="shared" ref="J148:J154" si="34">(H148*35%)</f>
        <v>1150.3399999999999</v>
      </c>
      <c r="K148" s="312">
        <f>(J148+I148)</f>
        <v>3286.69</v>
      </c>
      <c r="L148" s="77"/>
    </row>
    <row r="149" spans="1:12" s="171" customFormat="1" ht="19.5" customHeight="1" x14ac:dyDescent="0.2">
      <c r="A149" s="290" t="s">
        <v>278</v>
      </c>
      <c r="B149" s="250">
        <v>94228</v>
      </c>
      <c r="C149" s="251" t="s">
        <v>166</v>
      </c>
      <c r="D149" s="290" t="s">
        <v>76</v>
      </c>
      <c r="E149" s="291">
        <v>1.6</v>
      </c>
      <c r="F149" s="285">
        <v>109.99</v>
      </c>
      <c r="G149" s="221">
        <f t="shared" si="33"/>
        <v>137.49</v>
      </c>
      <c r="H149" s="586">
        <f t="shared" si="31"/>
        <v>219.98</v>
      </c>
      <c r="I149" s="376">
        <f t="shared" si="32"/>
        <v>142.99</v>
      </c>
      <c r="J149" s="390">
        <f t="shared" si="34"/>
        <v>76.989999999999995</v>
      </c>
      <c r="K149" s="312">
        <f>(J149+I149)</f>
        <v>219.98</v>
      </c>
      <c r="L149" s="36"/>
    </row>
    <row r="150" spans="1:12" s="171" customFormat="1" ht="18.75" customHeight="1" x14ac:dyDescent="0.2">
      <c r="A150" s="222" t="s">
        <v>279</v>
      </c>
      <c r="B150" s="250">
        <v>88240</v>
      </c>
      <c r="C150" s="252" t="s">
        <v>110</v>
      </c>
      <c r="D150" s="275" t="s">
        <v>186</v>
      </c>
      <c r="E150" s="260">
        <v>160</v>
      </c>
      <c r="F150" s="261">
        <v>18.64</v>
      </c>
      <c r="G150" s="262">
        <f t="shared" si="33"/>
        <v>23.3</v>
      </c>
      <c r="H150" s="576">
        <f t="shared" si="31"/>
        <v>3728</v>
      </c>
      <c r="I150" s="376">
        <f t="shared" si="32"/>
        <v>2423.1999999999998</v>
      </c>
      <c r="J150" s="390">
        <f t="shared" si="34"/>
        <v>1304.8</v>
      </c>
      <c r="K150" s="312">
        <f>(J150+I150)</f>
        <v>3728</v>
      </c>
    </row>
    <row r="151" spans="1:12" s="36" customFormat="1" ht="24" customHeight="1" x14ac:dyDescent="0.2">
      <c r="A151" s="222" t="s">
        <v>280</v>
      </c>
      <c r="B151" s="292" t="s">
        <v>112</v>
      </c>
      <c r="C151" s="293" t="s">
        <v>111</v>
      </c>
      <c r="D151" s="276" t="s">
        <v>186</v>
      </c>
      <c r="E151" s="276">
        <v>160</v>
      </c>
      <c r="F151" s="272">
        <v>22.01</v>
      </c>
      <c r="G151" s="276">
        <f t="shared" si="33"/>
        <v>27.512499999999999</v>
      </c>
      <c r="H151" s="577">
        <f t="shared" si="31"/>
        <v>4402</v>
      </c>
      <c r="I151" s="376">
        <f t="shared" si="32"/>
        <v>2861.3</v>
      </c>
      <c r="J151" s="390">
        <f t="shared" si="34"/>
        <v>1540.7</v>
      </c>
      <c r="K151" s="312">
        <f>(J151+I151)</f>
        <v>4402</v>
      </c>
      <c r="L151" s="171"/>
    </row>
    <row r="152" spans="1:12" s="36" customFormat="1" ht="16.5" customHeight="1" x14ac:dyDescent="0.2">
      <c r="A152" s="432" t="s">
        <v>576</v>
      </c>
      <c r="B152" s="250">
        <v>100327</v>
      </c>
      <c r="C152" s="252" t="s">
        <v>154</v>
      </c>
      <c r="D152" s="222" t="s">
        <v>81</v>
      </c>
      <c r="E152" s="223">
        <v>74.58</v>
      </c>
      <c r="F152" s="190">
        <v>72.239999999999995</v>
      </c>
      <c r="G152" s="221">
        <f t="shared" si="33"/>
        <v>90.3</v>
      </c>
      <c r="H152" s="586">
        <f t="shared" si="31"/>
        <v>6734.57</v>
      </c>
      <c r="I152" s="376">
        <f t="shared" si="32"/>
        <v>4377.47</v>
      </c>
      <c r="J152" s="390">
        <f t="shared" si="34"/>
        <v>2357.1</v>
      </c>
      <c r="K152" s="312">
        <f>(J152+I152)</f>
        <v>6734.57</v>
      </c>
    </row>
    <row r="153" spans="1:12" s="36" customFormat="1" ht="24" customHeight="1" x14ac:dyDescent="0.2">
      <c r="A153" s="432" t="s">
        <v>577</v>
      </c>
      <c r="B153" s="250">
        <v>101979</v>
      </c>
      <c r="C153" s="252" t="s">
        <v>155</v>
      </c>
      <c r="D153" s="276" t="s">
        <v>81</v>
      </c>
      <c r="E153" s="223">
        <v>38.5</v>
      </c>
      <c r="F153" s="190">
        <v>50.69</v>
      </c>
      <c r="G153" s="221">
        <f t="shared" si="33"/>
        <v>63.36</v>
      </c>
      <c r="H153" s="586">
        <f t="shared" si="31"/>
        <v>2439.36</v>
      </c>
      <c r="I153" s="376">
        <f t="shared" si="32"/>
        <v>1585.58</v>
      </c>
      <c r="J153" s="390">
        <f t="shared" si="34"/>
        <v>853.78</v>
      </c>
      <c r="K153" s="312">
        <f>(J153+I153)</f>
        <v>2439.36</v>
      </c>
    </row>
    <row r="154" spans="1:12" s="36" customFormat="1" ht="12.95" customHeight="1" x14ac:dyDescent="0.2">
      <c r="A154" s="290" t="s">
        <v>578</v>
      </c>
      <c r="B154" s="250">
        <v>96116</v>
      </c>
      <c r="C154" s="294" t="s">
        <v>109</v>
      </c>
      <c r="D154" s="275" t="s">
        <v>76</v>
      </c>
      <c r="E154" s="260">
        <v>192.48</v>
      </c>
      <c r="F154" s="261">
        <v>88.73</v>
      </c>
      <c r="G154" s="262">
        <f t="shared" si="33"/>
        <v>110.91</v>
      </c>
      <c r="H154" s="576">
        <f t="shared" si="31"/>
        <v>21347.96</v>
      </c>
      <c r="I154" s="376">
        <f t="shared" si="32"/>
        <v>13876.17</v>
      </c>
      <c r="J154" s="390">
        <f t="shared" si="34"/>
        <v>7471.79</v>
      </c>
      <c r="K154" s="312">
        <f>(J154+I154)</f>
        <v>21347.96</v>
      </c>
    </row>
    <row r="155" spans="1:12" s="306" customFormat="1" ht="17.25" customHeight="1" x14ac:dyDescent="0.2">
      <c r="A155" s="434"/>
      <c r="B155" s="343"/>
      <c r="C155" s="361" t="s">
        <v>362</v>
      </c>
      <c r="D155" s="357"/>
      <c r="E155" s="358"/>
      <c r="F155" s="359"/>
      <c r="G155" s="360"/>
      <c r="H155" s="398">
        <f>SUM(H140:H154)</f>
        <v>205440.41</v>
      </c>
      <c r="I155" s="418">
        <f>SUM(I140:I154)</f>
        <v>133536.26999999999</v>
      </c>
      <c r="J155" s="396">
        <f>SUM(J140:J154)</f>
        <v>71904.149999999994</v>
      </c>
      <c r="K155" s="312">
        <f>(J155+I155)</f>
        <v>205440.42</v>
      </c>
    </row>
    <row r="156" spans="1:12" s="77" customFormat="1" ht="18.75" customHeight="1" thickBot="1" x14ac:dyDescent="0.25">
      <c r="A156" s="428" t="s">
        <v>115</v>
      </c>
      <c r="B156" s="245"/>
      <c r="C156" s="246" t="s">
        <v>473</v>
      </c>
      <c r="D156" s="225"/>
      <c r="E156" s="225"/>
      <c r="F156" s="225"/>
      <c r="G156" s="225"/>
      <c r="H156" s="404"/>
      <c r="I156" s="585"/>
      <c r="J156" s="585"/>
      <c r="K156" s="247"/>
      <c r="L156" s="35"/>
    </row>
    <row r="157" spans="1:12" s="180" customFormat="1" ht="38.25" x14ac:dyDescent="0.2">
      <c r="A157" s="429" t="s">
        <v>195</v>
      </c>
      <c r="B157" s="250">
        <v>92580</v>
      </c>
      <c r="C157" s="256" t="s">
        <v>573</v>
      </c>
      <c r="D157" s="222" t="s">
        <v>76</v>
      </c>
      <c r="E157" s="223">
        <v>31.3</v>
      </c>
      <c r="F157" s="285">
        <v>67.790000000000006</v>
      </c>
      <c r="G157" s="221">
        <f t="shared" ref="G157:G162" si="35">(F157*$E$9)+F157</f>
        <v>84.74</v>
      </c>
      <c r="H157" s="586">
        <f t="shared" ref="H157:H162" si="36">E157*G157</f>
        <v>2652.36</v>
      </c>
      <c r="I157" s="376">
        <f>(H157*65%)</f>
        <v>1724.03</v>
      </c>
      <c r="J157" s="390">
        <f>(H157*35%)</f>
        <v>928.33</v>
      </c>
      <c r="K157" s="312">
        <f>(J157+I157)</f>
        <v>2652.36</v>
      </c>
      <c r="L157" s="77"/>
    </row>
    <row r="158" spans="1:12" s="77" customFormat="1" ht="25.5" x14ac:dyDescent="0.2">
      <c r="A158" s="432" t="s">
        <v>196</v>
      </c>
      <c r="B158" s="250">
        <v>94216</v>
      </c>
      <c r="C158" s="252" t="s">
        <v>222</v>
      </c>
      <c r="D158" s="290" t="s">
        <v>76</v>
      </c>
      <c r="E158" s="291">
        <v>31.3</v>
      </c>
      <c r="F158" s="285">
        <v>256.86</v>
      </c>
      <c r="G158" s="221">
        <f t="shared" si="35"/>
        <v>321.08</v>
      </c>
      <c r="H158" s="586">
        <f t="shared" si="36"/>
        <v>10049.799999999999</v>
      </c>
      <c r="I158" s="376">
        <f t="shared" ref="I158:I162" si="37">(H158*65%)</f>
        <v>6532.37</v>
      </c>
      <c r="J158" s="390">
        <f t="shared" ref="J158:J162" si="38">(H158*35%)</f>
        <v>3517.43</v>
      </c>
      <c r="K158" s="312">
        <f>(J158+I158)</f>
        <v>10049.799999999999</v>
      </c>
      <c r="L158" s="180"/>
    </row>
    <row r="159" spans="1:12" s="36" customFormat="1" ht="21" customHeight="1" x14ac:dyDescent="0.2">
      <c r="A159" s="290" t="s">
        <v>197</v>
      </c>
      <c r="B159" s="250">
        <v>94223</v>
      </c>
      <c r="C159" s="251" t="s">
        <v>153</v>
      </c>
      <c r="D159" s="290" t="s">
        <v>81</v>
      </c>
      <c r="E159" s="291">
        <v>3.25</v>
      </c>
      <c r="F159" s="285">
        <v>82.63</v>
      </c>
      <c r="G159" s="221">
        <f t="shared" si="35"/>
        <v>103.29</v>
      </c>
      <c r="H159" s="586">
        <f t="shared" si="36"/>
        <v>335.69</v>
      </c>
      <c r="I159" s="376">
        <f t="shared" si="37"/>
        <v>218.2</v>
      </c>
      <c r="J159" s="390">
        <f t="shared" si="38"/>
        <v>117.49</v>
      </c>
      <c r="K159" s="312">
        <f>(J159+I159)</f>
        <v>335.69</v>
      </c>
      <c r="L159" s="77"/>
    </row>
    <row r="160" spans="1:12" s="36" customFormat="1" ht="16.5" customHeight="1" x14ac:dyDescent="0.2">
      <c r="A160" s="432" t="s">
        <v>204</v>
      </c>
      <c r="B160" s="250">
        <v>100327</v>
      </c>
      <c r="C160" s="252" t="s">
        <v>154</v>
      </c>
      <c r="D160" s="222" t="s">
        <v>81</v>
      </c>
      <c r="E160" s="223">
        <v>7.2</v>
      </c>
      <c r="F160" s="190">
        <v>72.239999999999995</v>
      </c>
      <c r="G160" s="221">
        <f t="shared" si="35"/>
        <v>90.3</v>
      </c>
      <c r="H160" s="586">
        <f t="shared" si="36"/>
        <v>650.16</v>
      </c>
      <c r="I160" s="376">
        <f t="shared" si="37"/>
        <v>422.6</v>
      </c>
      <c r="J160" s="390">
        <f t="shared" si="38"/>
        <v>227.56</v>
      </c>
      <c r="K160" s="312">
        <f>(J160+I160)</f>
        <v>650.16</v>
      </c>
    </row>
    <row r="161" spans="1:12" s="36" customFormat="1" ht="24" customHeight="1" x14ac:dyDescent="0.2">
      <c r="A161" s="432" t="s">
        <v>205</v>
      </c>
      <c r="B161" s="250">
        <v>101979</v>
      </c>
      <c r="C161" s="252" t="s">
        <v>155</v>
      </c>
      <c r="D161" s="276" t="s">
        <v>81</v>
      </c>
      <c r="E161" s="223">
        <v>7.2</v>
      </c>
      <c r="F161" s="190">
        <v>50.69</v>
      </c>
      <c r="G161" s="221">
        <f t="shared" si="35"/>
        <v>63.36</v>
      </c>
      <c r="H161" s="586">
        <f t="shared" si="36"/>
        <v>456.19</v>
      </c>
      <c r="I161" s="376">
        <f t="shared" si="37"/>
        <v>296.52</v>
      </c>
      <c r="J161" s="390">
        <f t="shared" si="38"/>
        <v>159.66999999999999</v>
      </c>
      <c r="K161" s="312">
        <f>(J161+I161)</f>
        <v>456.19</v>
      </c>
    </row>
    <row r="162" spans="1:12" s="36" customFormat="1" ht="12.95" customHeight="1" x14ac:dyDescent="0.2">
      <c r="A162" s="290" t="s">
        <v>281</v>
      </c>
      <c r="B162" s="250">
        <v>96116</v>
      </c>
      <c r="C162" s="294" t="s">
        <v>109</v>
      </c>
      <c r="D162" s="275" t="s">
        <v>76</v>
      </c>
      <c r="E162" s="260">
        <v>14.82</v>
      </c>
      <c r="F162" s="261">
        <v>88.73</v>
      </c>
      <c r="G162" s="262">
        <f t="shared" si="35"/>
        <v>110.91</v>
      </c>
      <c r="H162" s="576">
        <f t="shared" si="36"/>
        <v>1643.69</v>
      </c>
      <c r="I162" s="376">
        <f t="shared" si="37"/>
        <v>1068.4000000000001</v>
      </c>
      <c r="J162" s="390">
        <f t="shared" si="38"/>
        <v>575.29</v>
      </c>
      <c r="K162" s="312">
        <f>(J162+I162)</f>
        <v>1643.69</v>
      </c>
    </row>
    <row r="163" spans="1:12" s="306" customFormat="1" ht="17.25" customHeight="1" x14ac:dyDescent="0.2">
      <c r="A163" s="434"/>
      <c r="B163" s="343"/>
      <c r="C163" s="361" t="s">
        <v>362</v>
      </c>
      <c r="D163" s="357"/>
      <c r="E163" s="358"/>
      <c r="F163" s="359"/>
      <c r="G163" s="360"/>
      <c r="H163" s="398">
        <f>SUM(H157:H162)</f>
        <v>15787.89</v>
      </c>
      <c r="I163" s="418">
        <f>SUM(I157:I162)</f>
        <v>10262.120000000001</v>
      </c>
      <c r="J163" s="396">
        <f>SUM(J157:J162)</f>
        <v>5525.77</v>
      </c>
      <c r="K163" s="312">
        <f>(J163+I163)</f>
        <v>15787.89</v>
      </c>
    </row>
    <row r="164" spans="1:12" s="111" customFormat="1" ht="13.5" thickBot="1" x14ac:dyDescent="0.25">
      <c r="A164" s="428" t="s">
        <v>532</v>
      </c>
      <c r="B164" s="245"/>
      <c r="C164" s="246" t="s">
        <v>387</v>
      </c>
      <c r="D164" s="225"/>
      <c r="E164" s="225"/>
      <c r="F164" s="225"/>
      <c r="G164" s="225"/>
      <c r="H164" s="404"/>
      <c r="I164" s="585"/>
      <c r="J164" s="585"/>
      <c r="K164" s="247"/>
      <c r="L164" s="36"/>
    </row>
    <row r="165" spans="1:12" s="248" customFormat="1" ht="38.25" x14ac:dyDescent="0.2">
      <c r="A165" s="222" t="s">
        <v>533</v>
      </c>
      <c r="B165" s="250">
        <v>92256</v>
      </c>
      <c r="C165" s="256" t="s">
        <v>165</v>
      </c>
      <c r="D165" s="222" t="s">
        <v>50</v>
      </c>
      <c r="E165" s="223">
        <v>4</v>
      </c>
      <c r="F165" s="285">
        <v>205.71</v>
      </c>
      <c r="G165" s="221">
        <f t="shared" ref="G165:G171" si="39">(F165*$E$9)+F165</f>
        <v>257.14</v>
      </c>
      <c r="H165" s="586">
        <f t="shared" ref="H165:H171" si="40">E165*G165</f>
        <v>1028.56</v>
      </c>
      <c r="I165" s="376">
        <f t="shared" ref="I165:I171" si="41">(H165*65%)</f>
        <v>668.56</v>
      </c>
      <c r="J165" s="390">
        <f>H165*35%</f>
        <v>360</v>
      </c>
      <c r="K165" s="312">
        <f>(J165+I165)</f>
        <v>1028.56</v>
      </c>
    </row>
    <row r="166" spans="1:12" s="180" customFormat="1" ht="38.25" x14ac:dyDescent="0.2">
      <c r="A166" s="429" t="s">
        <v>534</v>
      </c>
      <c r="B166" s="250">
        <v>92580</v>
      </c>
      <c r="C166" s="256" t="s">
        <v>573</v>
      </c>
      <c r="D166" s="222" t="s">
        <v>76</v>
      </c>
      <c r="E166" s="223">
        <v>140</v>
      </c>
      <c r="F166" s="285">
        <v>67.790000000000006</v>
      </c>
      <c r="G166" s="221">
        <f t="shared" si="39"/>
        <v>84.74</v>
      </c>
      <c r="H166" s="586">
        <f t="shared" si="40"/>
        <v>11863.6</v>
      </c>
      <c r="I166" s="376">
        <f>(H166*65%)</f>
        <v>7711.34</v>
      </c>
      <c r="J166" s="390">
        <f>(H166*35%)</f>
        <v>4152.26</v>
      </c>
      <c r="K166" s="312">
        <f>(J166+I166)</f>
        <v>11863.6</v>
      </c>
      <c r="L166" s="77"/>
    </row>
    <row r="167" spans="1:12" s="35" customFormat="1" ht="25.5" x14ac:dyDescent="0.2">
      <c r="A167" s="432" t="s">
        <v>535</v>
      </c>
      <c r="B167" s="250">
        <v>94216</v>
      </c>
      <c r="C167" s="252" t="s">
        <v>222</v>
      </c>
      <c r="D167" s="290" t="s">
        <v>76</v>
      </c>
      <c r="E167" s="291">
        <v>140</v>
      </c>
      <c r="F167" s="285">
        <v>256.86</v>
      </c>
      <c r="G167" s="221">
        <f t="shared" si="39"/>
        <v>321.08</v>
      </c>
      <c r="H167" s="586">
        <f t="shared" si="40"/>
        <v>44951.199999999997</v>
      </c>
      <c r="I167" s="376">
        <f t="shared" si="41"/>
        <v>29218.28</v>
      </c>
      <c r="J167" s="390">
        <f t="shared" ref="J167:J171" si="42">(H167*35%)</f>
        <v>15732.92</v>
      </c>
      <c r="K167" s="312">
        <f>(J167+I167)</f>
        <v>44951.199999999997</v>
      </c>
      <c r="L167" s="180"/>
    </row>
    <row r="168" spans="1:12" s="35" customFormat="1" ht="12.75" x14ac:dyDescent="0.2">
      <c r="A168" s="290" t="s">
        <v>536</v>
      </c>
      <c r="B168" s="250">
        <v>94223</v>
      </c>
      <c r="C168" s="251" t="s">
        <v>153</v>
      </c>
      <c r="D168" s="290" t="s">
        <v>81</v>
      </c>
      <c r="E168" s="291">
        <v>14.85</v>
      </c>
      <c r="F168" s="285">
        <v>82.63</v>
      </c>
      <c r="G168" s="221">
        <f t="shared" si="39"/>
        <v>103.29</v>
      </c>
      <c r="H168" s="586">
        <f t="shared" si="40"/>
        <v>1533.86</v>
      </c>
      <c r="I168" s="376">
        <f t="shared" si="41"/>
        <v>997.01</v>
      </c>
      <c r="J168" s="390">
        <f t="shared" si="42"/>
        <v>536.85</v>
      </c>
      <c r="K168" s="312">
        <f>(J168+I168)</f>
        <v>1533.86</v>
      </c>
      <c r="L168" s="77"/>
    </row>
    <row r="169" spans="1:12" s="248" customFormat="1" ht="25.5" x14ac:dyDescent="0.2">
      <c r="A169" s="432" t="s">
        <v>537</v>
      </c>
      <c r="B169" s="250">
        <v>100327</v>
      </c>
      <c r="C169" s="252" t="s">
        <v>154</v>
      </c>
      <c r="D169" s="222" t="s">
        <v>81</v>
      </c>
      <c r="E169" s="223">
        <v>8.4</v>
      </c>
      <c r="F169" s="190">
        <v>72.239999999999995</v>
      </c>
      <c r="G169" s="221">
        <f t="shared" si="39"/>
        <v>90.3</v>
      </c>
      <c r="H169" s="586">
        <f t="shared" si="40"/>
        <v>758.52</v>
      </c>
      <c r="I169" s="376">
        <f t="shared" si="41"/>
        <v>493.04</v>
      </c>
      <c r="J169" s="390">
        <f t="shared" si="42"/>
        <v>265.48</v>
      </c>
      <c r="K169" s="312">
        <f>(J169+I169)</f>
        <v>758.52</v>
      </c>
      <c r="L169" s="36"/>
    </row>
    <row r="170" spans="1:12" s="35" customFormat="1" ht="12.75" x14ac:dyDescent="0.2">
      <c r="A170" s="432" t="s">
        <v>538</v>
      </c>
      <c r="B170" s="250">
        <v>101979</v>
      </c>
      <c r="C170" s="252" t="s">
        <v>155</v>
      </c>
      <c r="D170" s="276" t="s">
        <v>81</v>
      </c>
      <c r="E170" s="223">
        <v>8.4</v>
      </c>
      <c r="F170" s="190">
        <v>50.69</v>
      </c>
      <c r="G170" s="221">
        <f t="shared" si="39"/>
        <v>63.36</v>
      </c>
      <c r="H170" s="586">
        <f t="shared" si="40"/>
        <v>532.22</v>
      </c>
      <c r="I170" s="376">
        <f t="shared" si="41"/>
        <v>345.94</v>
      </c>
      <c r="J170" s="390">
        <f t="shared" si="42"/>
        <v>186.28</v>
      </c>
      <c r="K170" s="312">
        <f>(J170+I170)</f>
        <v>532.22</v>
      </c>
      <c r="L170" s="171"/>
    </row>
    <row r="171" spans="1:12" s="35" customFormat="1" ht="12.95" customHeight="1" x14ac:dyDescent="0.2">
      <c r="A171" s="290" t="s">
        <v>579</v>
      </c>
      <c r="B171" s="250">
        <v>96116</v>
      </c>
      <c r="C171" s="294" t="s">
        <v>109</v>
      </c>
      <c r="D171" s="275" t="s">
        <v>76</v>
      </c>
      <c r="E171" s="260">
        <v>115</v>
      </c>
      <c r="F171" s="261">
        <v>88.73</v>
      </c>
      <c r="G171" s="262">
        <f t="shared" si="39"/>
        <v>110.91</v>
      </c>
      <c r="H171" s="576">
        <f t="shared" si="40"/>
        <v>12754.65</v>
      </c>
      <c r="I171" s="376">
        <f>(H171*65%)</f>
        <v>8290.52</v>
      </c>
      <c r="J171" s="390">
        <f t="shared" si="42"/>
        <v>4464.13</v>
      </c>
      <c r="K171" s="312">
        <f>(J171+I171)</f>
        <v>12754.65</v>
      </c>
      <c r="L171" s="171"/>
    </row>
    <row r="172" spans="1:12" s="537" customFormat="1" ht="12.75" x14ac:dyDescent="0.2">
      <c r="A172" s="435"/>
      <c r="B172" s="265"/>
      <c r="C172" s="363" t="s">
        <v>362</v>
      </c>
      <c r="D172" s="362"/>
      <c r="E172" s="358"/>
      <c r="F172" s="359"/>
      <c r="G172" s="360"/>
      <c r="H172" s="398">
        <f>SUM(H165:H171)</f>
        <v>73422.61</v>
      </c>
      <c r="I172" s="418">
        <f>SUM(I165:I171)</f>
        <v>47724.69</v>
      </c>
      <c r="J172" s="396">
        <f>SUM(J165:J171)</f>
        <v>25697.919999999998</v>
      </c>
      <c r="K172" s="312">
        <f>(J172+I172)</f>
        <v>73422.61</v>
      </c>
      <c r="L172" s="306"/>
    </row>
    <row r="173" spans="1:12" s="675" customFormat="1" ht="17.25" customHeight="1" x14ac:dyDescent="0.2">
      <c r="A173" s="669"/>
      <c r="B173" s="562"/>
      <c r="C173" s="670" t="s">
        <v>442</v>
      </c>
      <c r="D173" s="671"/>
      <c r="E173" s="672"/>
      <c r="F173" s="673"/>
      <c r="G173" s="674"/>
      <c r="H173" s="534">
        <f>H155+H163</f>
        <v>221228.3</v>
      </c>
      <c r="I173" s="556">
        <f>(H173*65%)</f>
        <v>143798.39999999999</v>
      </c>
      <c r="J173" s="555">
        <f>(H173*35%)</f>
        <v>77429.91</v>
      </c>
      <c r="K173" s="181">
        <f>(J173+I173)</f>
        <v>221228.31</v>
      </c>
    </row>
    <row r="174" spans="1:12" s="745" customFormat="1" ht="17.25" customHeight="1" x14ac:dyDescent="0.2">
      <c r="A174" s="738"/>
      <c r="B174" s="739"/>
      <c r="C174" s="740" t="s">
        <v>474</v>
      </c>
      <c r="D174" s="741"/>
      <c r="E174" s="742"/>
      <c r="F174" s="743"/>
      <c r="G174" s="744"/>
      <c r="H174" s="736">
        <f>H155</f>
        <v>205440.41</v>
      </c>
      <c r="I174" s="709">
        <f>I155</f>
        <v>133536.26999999999</v>
      </c>
      <c r="J174" s="737">
        <f>J155</f>
        <v>71904.149999999994</v>
      </c>
      <c r="K174" s="711">
        <f>(J174+I174)</f>
        <v>205440.42</v>
      </c>
    </row>
    <row r="175" spans="1:12" s="745" customFormat="1" ht="17.25" customHeight="1" x14ac:dyDescent="0.2">
      <c r="A175" s="738"/>
      <c r="B175" s="739"/>
      <c r="C175" s="740" t="s">
        <v>466</v>
      </c>
      <c r="D175" s="741"/>
      <c r="E175" s="742"/>
      <c r="F175" s="743"/>
      <c r="G175" s="744"/>
      <c r="H175" s="736">
        <f>H163</f>
        <v>15787.89</v>
      </c>
      <c r="I175" s="709">
        <f>I163</f>
        <v>10262.120000000001</v>
      </c>
      <c r="J175" s="737">
        <f>J163</f>
        <v>5525.77</v>
      </c>
      <c r="K175" s="711">
        <f>(J175+I175)</f>
        <v>15787.89</v>
      </c>
    </row>
    <row r="176" spans="1:12" s="638" customFormat="1" ht="12.75" x14ac:dyDescent="0.2">
      <c r="A176" s="631"/>
      <c r="B176" s="615"/>
      <c r="C176" s="632" t="s">
        <v>443</v>
      </c>
      <c r="D176" s="633"/>
      <c r="E176" s="634"/>
      <c r="F176" s="635"/>
      <c r="G176" s="636"/>
      <c r="H176" s="568">
        <f>H172</f>
        <v>73422.61</v>
      </c>
      <c r="I176" s="580">
        <f>I172</f>
        <v>47724.69</v>
      </c>
      <c r="J176" s="626">
        <f>J172</f>
        <v>25697.919999999998</v>
      </c>
      <c r="K176" s="570">
        <f>(J176+I176)</f>
        <v>73422.61</v>
      </c>
      <c r="L176" s="637"/>
    </row>
    <row r="177" spans="1:12" s="494" customFormat="1" ht="12.75" x14ac:dyDescent="0.2">
      <c r="A177" s="505"/>
      <c r="B177" s="506"/>
      <c r="C177" s="503" t="s">
        <v>388</v>
      </c>
      <c r="D177" s="507"/>
      <c r="E177" s="507"/>
      <c r="F177" s="508"/>
      <c r="G177" s="507"/>
      <c r="H177" s="592">
        <f>H176+H173</f>
        <v>294650.90999999997</v>
      </c>
      <c r="I177" s="501">
        <f>(H177*65%)</f>
        <v>191523.09</v>
      </c>
      <c r="J177" s="499">
        <f>(H177*35%)</f>
        <v>103127.82</v>
      </c>
      <c r="K177" s="500">
        <f>(J177+I177)</f>
        <v>294650.90999999997</v>
      </c>
      <c r="L177" s="509"/>
    </row>
    <row r="178" spans="1:12" s="35" customFormat="1" ht="16.5" customHeight="1" x14ac:dyDescent="0.2">
      <c r="A178" s="139">
        <v>5</v>
      </c>
      <c r="B178" s="169"/>
      <c r="C178" s="138" t="s">
        <v>118</v>
      </c>
      <c r="D178" s="609"/>
      <c r="E178" s="609"/>
      <c r="F178" s="609"/>
      <c r="G178" s="609"/>
      <c r="H178" s="609"/>
      <c r="I178" s="454"/>
      <c r="J178" s="489"/>
      <c r="K178" s="142"/>
      <c r="L178" s="36"/>
    </row>
    <row r="179" spans="1:12" s="35" customFormat="1" ht="13.5" thickBot="1" x14ac:dyDescent="0.25">
      <c r="A179" s="428" t="s">
        <v>99</v>
      </c>
      <c r="B179" s="245"/>
      <c r="C179" s="246" t="s">
        <v>475</v>
      </c>
      <c r="D179" s="225"/>
      <c r="E179" s="225"/>
      <c r="F179" s="225"/>
      <c r="G179" s="225"/>
      <c r="H179" s="404"/>
      <c r="I179" s="585"/>
      <c r="J179" s="585"/>
      <c r="K179" s="247"/>
      <c r="L179" s="36"/>
    </row>
    <row r="180" spans="1:12" s="35" customFormat="1" ht="12.75" x14ac:dyDescent="0.2">
      <c r="A180" s="229" t="s">
        <v>223</v>
      </c>
      <c r="B180" s="253">
        <v>98504</v>
      </c>
      <c r="C180" s="254" t="s">
        <v>350</v>
      </c>
      <c r="D180" s="229" t="s">
        <v>76</v>
      </c>
      <c r="E180" s="189">
        <v>225</v>
      </c>
      <c r="F180" s="230">
        <v>21.49</v>
      </c>
      <c r="G180" s="236">
        <f>(F180*$E$9)+F180</f>
        <v>26.86</v>
      </c>
      <c r="H180" s="576">
        <f>E180*G180</f>
        <v>6043.5</v>
      </c>
      <c r="I180" s="376">
        <f>(H180*65%)</f>
        <v>3928.28</v>
      </c>
      <c r="J180" s="391">
        <f>(H180*35%)</f>
        <v>2115.23</v>
      </c>
      <c r="K180" s="312">
        <f>(J180+I180)</f>
        <v>6043.51</v>
      </c>
      <c r="L180" s="111"/>
    </row>
    <row r="181" spans="1:12" s="35" customFormat="1" ht="12.75" x14ac:dyDescent="0.2">
      <c r="A181" s="229" t="s">
        <v>581</v>
      </c>
      <c r="B181" s="253">
        <v>98503</v>
      </c>
      <c r="C181" s="254" t="s">
        <v>580</v>
      </c>
      <c r="D181" s="529" t="s">
        <v>76</v>
      </c>
      <c r="E181" s="189">
        <v>50</v>
      </c>
      <c r="F181" s="268">
        <v>27.29</v>
      </c>
      <c r="G181" s="841">
        <f>(F181*$E$9)+F181</f>
        <v>34.11</v>
      </c>
      <c r="H181" s="586">
        <f>E181*G181</f>
        <v>1705.5</v>
      </c>
      <c r="I181" s="376">
        <f>(H181*65%)</f>
        <v>1108.58</v>
      </c>
      <c r="J181" s="391">
        <f>(H181*35%)</f>
        <v>596.92999999999995</v>
      </c>
      <c r="K181" s="312">
        <f>(J181+I181)</f>
        <v>1705.51</v>
      </c>
      <c r="L181" s="111"/>
    </row>
    <row r="182" spans="1:12" s="35" customFormat="1" ht="12.95" customHeight="1" x14ac:dyDescent="0.2">
      <c r="A182" s="222" t="s">
        <v>582</v>
      </c>
      <c r="B182" s="250">
        <v>87248</v>
      </c>
      <c r="C182" s="256" t="s">
        <v>119</v>
      </c>
      <c r="D182" s="295" t="s">
        <v>76</v>
      </c>
      <c r="E182" s="296">
        <v>271.70999999999998</v>
      </c>
      <c r="F182" s="261">
        <v>42.64</v>
      </c>
      <c r="G182" s="221">
        <f>(F182*$E$9)+F182</f>
        <v>53.3</v>
      </c>
      <c r="H182" s="586">
        <f>E182*G182</f>
        <v>14482.14</v>
      </c>
      <c r="I182" s="376">
        <f>(H182*65%)</f>
        <v>9413.39</v>
      </c>
      <c r="J182" s="390">
        <f>(H182*35%)</f>
        <v>5068.75</v>
      </c>
      <c r="K182" s="312">
        <f>(J182+I182)</f>
        <v>14482.14</v>
      </c>
      <c r="L182" s="111"/>
    </row>
    <row r="183" spans="1:12" s="536" customFormat="1" ht="13.5" customHeight="1" x14ac:dyDescent="0.2">
      <c r="A183" s="424"/>
      <c r="B183" s="343"/>
      <c r="C183" s="355" t="s">
        <v>362</v>
      </c>
      <c r="D183" s="364"/>
      <c r="E183" s="365"/>
      <c r="F183" s="359"/>
      <c r="G183" s="333"/>
      <c r="H183" s="403">
        <f>SUM(H180:H182)</f>
        <v>22231.14</v>
      </c>
      <c r="I183" s="418">
        <f>SUM(I180:I182)</f>
        <v>14450.25</v>
      </c>
      <c r="J183" s="396">
        <f>SUM(J180:J182)</f>
        <v>7780.91</v>
      </c>
      <c r="K183" s="312">
        <f>(J183+I183)</f>
        <v>22231.16</v>
      </c>
    </row>
    <row r="184" spans="1:12" s="35" customFormat="1" ht="13.5" thickBot="1" x14ac:dyDescent="0.25">
      <c r="A184" s="428" t="s">
        <v>96</v>
      </c>
      <c r="B184" s="245"/>
      <c r="C184" s="246" t="s">
        <v>476</v>
      </c>
      <c r="D184" s="225"/>
      <c r="E184" s="225"/>
      <c r="F184" s="225"/>
      <c r="G184" s="225"/>
      <c r="H184" s="404"/>
      <c r="I184" s="585"/>
      <c r="J184" s="585"/>
      <c r="K184" s="247"/>
      <c r="L184" s="36"/>
    </row>
    <row r="185" spans="1:12" s="35" customFormat="1" ht="51" x14ac:dyDescent="0.2">
      <c r="A185" s="222" t="s">
        <v>224</v>
      </c>
      <c r="B185" s="250">
        <v>87769</v>
      </c>
      <c r="C185" s="294" t="s">
        <v>216</v>
      </c>
      <c r="D185" s="295" t="s">
        <v>76</v>
      </c>
      <c r="E185" s="296">
        <v>10.8</v>
      </c>
      <c r="F185" s="261">
        <v>109.59</v>
      </c>
      <c r="G185" s="221">
        <f>(F185*$E$9)+F185</f>
        <v>136.99</v>
      </c>
      <c r="H185" s="586">
        <f>E185*G185</f>
        <v>1479.49</v>
      </c>
      <c r="I185" s="376">
        <f>(H185*65%)</f>
        <v>961.67</v>
      </c>
      <c r="J185" s="390">
        <f>(H185*35%)</f>
        <v>517.82000000000005</v>
      </c>
      <c r="K185" s="312">
        <f>(J185+I185)</f>
        <v>1479.49</v>
      </c>
      <c r="L185" s="36"/>
    </row>
    <row r="186" spans="1:12" s="35" customFormat="1" ht="12.95" customHeight="1" x14ac:dyDescent="0.2">
      <c r="A186" s="222" t="s">
        <v>225</v>
      </c>
      <c r="B186" s="250">
        <v>87248</v>
      </c>
      <c r="C186" s="256" t="s">
        <v>119</v>
      </c>
      <c r="D186" s="295" t="s">
        <v>76</v>
      </c>
      <c r="E186" s="296">
        <v>20.350000000000001</v>
      </c>
      <c r="F186" s="261">
        <v>42.64</v>
      </c>
      <c r="G186" s="221">
        <f>(F186*$E$9)+F186</f>
        <v>53.3</v>
      </c>
      <c r="H186" s="586">
        <f>E186*G186</f>
        <v>1084.6600000000001</v>
      </c>
      <c r="I186" s="376">
        <f>(H186*65%)</f>
        <v>705.03</v>
      </c>
      <c r="J186" s="390">
        <f>(H186*35%)</f>
        <v>379.63</v>
      </c>
      <c r="K186" s="312">
        <f>(J186+I186)</f>
        <v>1084.6600000000001</v>
      </c>
      <c r="L186" s="111"/>
    </row>
    <row r="187" spans="1:12" s="536" customFormat="1" ht="13.5" customHeight="1" x14ac:dyDescent="0.2">
      <c r="A187" s="424"/>
      <c r="B187" s="343"/>
      <c r="C187" s="355" t="s">
        <v>362</v>
      </c>
      <c r="D187" s="364"/>
      <c r="E187" s="365"/>
      <c r="F187" s="359"/>
      <c r="G187" s="333"/>
      <c r="H187" s="403">
        <f>SUM(H185:H186)</f>
        <v>2564.15</v>
      </c>
      <c r="I187" s="418">
        <f>SUM(I185:I186)</f>
        <v>1666.7</v>
      </c>
      <c r="J187" s="396">
        <f>SUM(J185:J186)</f>
        <v>897.45</v>
      </c>
      <c r="K187" s="312">
        <f>(J187+I187)</f>
        <v>2564.15</v>
      </c>
    </row>
    <row r="188" spans="1:12" s="35" customFormat="1" ht="13.5" thickBot="1" x14ac:dyDescent="0.25">
      <c r="A188" s="428" t="s">
        <v>539</v>
      </c>
      <c r="B188" s="245"/>
      <c r="C188" s="246" t="s">
        <v>389</v>
      </c>
      <c r="D188" s="225"/>
      <c r="E188" s="225"/>
      <c r="F188" s="225"/>
      <c r="G188" s="225"/>
      <c r="H188" s="581"/>
      <c r="I188" s="585"/>
      <c r="J188" s="585"/>
      <c r="K188" s="247"/>
      <c r="L188" s="248"/>
    </row>
    <row r="189" spans="1:12" s="35" customFormat="1" ht="51" x14ac:dyDescent="0.2">
      <c r="A189" s="222" t="s">
        <v>540</v>
      </c>
      <c r="B189" s="250">
        <v>87769</v>
      </c>
      <c r="C189" s="294" t="s">
        <v>216</v>
      </c>
      <c r="D189" s="295" t="s">
        <v>76</v>
      </c>
      <c r="E189" s="296">
        <v>142.47999999999999</v>
      </c>
      <c r="F189" s="261">
        <v>109.59</v>
      </c>
      <c r="G189" s="221">
        <f>(F189*$E$9)+F189</f>
        <v>136.99</v>
      </c>
      <c r="H189" s="586">
        <f>E189*G189</f>
        <v>19518.34</v>
      </c>
      <c r="I189" s="376">
        <f>(H189*65%)</f>
        <v>12686.92</v>
      </c>
      <c r="J189" s="390">
        <f>(H189*35%)</f>
        <v>6831.42</v>
      </c>
      <c r="K189" s="312">
        <f>(J189+I189)</f>
        <v>19518.34</v>
      </c>
    </row>
    <row r="190" spans="1:12" s="35" customFormat="1" ht="38.25" x14ac:dyDescent="0.2">
      <c r="A190" s="222" t="s">
        <v>541</v>
      </c>
      <c r="B190" s="250">
        <v>88476</v>
      </c>
      <c r="C190" s="294" t="s">
        <v>340</v>
      </c>
      <c r="D190" s="295" t="s">
        <v>76</v>
      </c>
      <c r="E190" s="296">
        <v>115.88</v>
      </c>
      <c r="F190" s="261">
        <v>19.34</v>
      </c>
      <c r="G190" s="221">
        <f>(F190*$E$9)+F190</f>
        <v>24.18</v>
      </c>
      <c r="H190" s="586">
        <f>E190*G190</f>
        <v>2801.98</v>
      </c>
      <c r="I190" s="376">
        <f>(H190*65%)</f>
        <v>1821.29</v>
      </c>
      <c r="J190" s="390">
        <f>(H190*35%)</f>
        <v>980.69</v>
      </c>
      <c r="K190" s="312">
        <f>(J190+I190)</f>
        <v>2801.98</v>
      </c>
    </row>
    <row r="191" spans="1:12" s="35" customFormat="1" ht="12.95" customHeight="1" x14ac:dyDescent="0.2">
      <c r="A191" s="183" t="s">
        <v>542</v>
      </c>
      <c r="B191" s="265">
        <v>87248</v>
      </c>
      <c r="C191" s="538" t="s">
        <v>119</v>
      </c>
      <c r="D191" s="295" t="s">
        <v>76</v>
      </c>
      <c r="E191" s="260">
        <v>135.57</v>
      </c>
      <c r="F191" s="261">
        <v>42.64</v>
      </c>
      <c r="G191" s="539">
        <f>(F191*$E$9)+F191</f>
        <v>53.3</v>
      </c>
      <c r="H191" s="593">
        <f>E191*G191</f>
        <v>7225.88</v>
      </c>
      <c r="I191" s="376">
        <f>(H191*65%)</f>
        <v>4696.82</v>
      </c>
      <c r="J191" s="391">
        <f>(H191*35%)</f>
        <v>2529.06</v>
      </c>
      <c r="K191" s="312">
        <f>(J191+I191)</f>
        <v>7225.88</v>
      </c>
    </row>
    <row r="192" spans="1:12" s="303" customFormat="1" ht="12.75" customHeight="1" x14ac:dyDescent="0.2">
      <c r="A192" s="222"/>
      <c r="B192" s="250"/>
      <c r="C192" s="540" t="s">
        <v>362</v>
      </c>
      <c r="D192" s="852"/>
      <c r="E192" s="853"/>
      <c r="F192" s="853"/>
      <c r="G192" s="854"/>
      <c r="H192" s="403">
        <f>SUM(H189:H191)</f>
        <v>29546.2</v>
      </c>
      <c r="I192" s="418">
        <f>SUM(I189:I191)</f>
        <v>19205.03</v>
      </c>
      <c r="J192" s="396">
        <f>SUM(J189:J191)</f>
        <v>10341.17</v>
      </c>
      <c r="K192" s="541">
        <f>(J192+I192)</f>
        <v>29546.2</v>
      </c>
      <c r="L192" s="542"/>
    </row>
    <row r="193" spans="1:12" s="182" customFormat="1" ht="13.5" customHeight="1" x14ac:dyDescent="0.2">
      <c r="A193" s="554"/>
      <c r="B193" s="562"/>
      <c r="C193" s="746" t="s">
        <v>444</v>
      </c>
      <c r="D193" s="915"/>
      <c r="E193" s="916"/>
      <c r="F193" s="916"/>
      <c r="G193" s="916"/>
      <c r="H193" s="534">
        <f>H187+H183</f>
        <v>24795.29</v>
      </c>
      <c r="I193" s="556">
        <f>I183+I187</f>
        <v>16116.95</v>
      </c>
      <c r="J193" s="535">
        <f>J183+J187</f>
        <v>8678.36</v>
      </c>
      <c r="K193" s="181">
        <f>(J193+I193)</f>
        <v>24795.31</v>
      </c>
    </row>
    <row r="194" spans="1:12" s="712" customFormat="1" ht="13.5" customHeight="1" x14ac:dyDescent="0.2">
      <c r="A194" s="747"/>
      <c r="B194" s="729"/>
      <c r="C194" s="748" t="s">
        <v>477</v>
      </c>
      <c r="D194" s="749"/>
      <c r="E194" s="750"/>
      <c r="F194" s="750"/>
      <c r="G194" s="750"/>
      <c r="H194" s="736">
        <f>H183</f>
        <v>22231.14</v>
      </c>
      <c r="I194" s="709">
        <f>I183</f>
        <v>14450.25</v>
      </c>
      <c r="J194" s="751">
        <f>J183</f>
        <v>7780.91</v>
      </c>
      <c r="K194" s="711">
        <f>(J194+I194)</f>
        <v>22231.16</v>
      </c>
    </row>
    <row r="195" spans="1:12" s="712" customFormat="1" ht="13.5" customHeight="1" x14ac:dyDescent="0.2">
      <c r="A195" s="747"/>
      <c r="B195" s="729"/>
      <c r="C195" s="748" t="s">
        <v>478</v>
      </c>
      <c r="D195" s="905"/>
      <c r="E195" s="906"/>
      <c r="F195" s="906"/>
      <c r="G195" s="906"/>
      <c r="H195" s="736">
        <f>H187</f>
        <v>2564.15</v>
      </c>
      <c r="I195" s="709">
        <f>I187</f>
        <v>1666.7</v>
      </c>
      <c r="J195" s="751">
        <f>J187</f>
        <v>897.45</v>
      </c>
      <c r="K195" s="711">
        <f>(J195+I195)</f>
        <v>2564.15</v>
      </c>
    </row>
    <row r="196" spans="1:12" s="571" customFormat="1" ht="15.75" customHeight="1" x14ac:dyDescent="0.2">
      <c r="A196" s="627"/>
      <c r="B196" s="628"/>
      <c r="C196" s="639" t="s">
        <v>445</v>
      </c>
      <c r="D196" s="855"/>
      <c r="E196" s="856"/>
      <c r="F196" s="856"/>
      <c r="G196" s="857"/>
      <c r="H196" s="630">
        <f>H189+H190+H191</f>
        <v>29546.2</v>
      </c>
      <c r="I196" s="580">
        <f>I192</f>
        <v>19205.03</v>
      </c>
      <c r="J196" s="626">
        <f>J192</f>
        <v>10341.17</v>
      </c>
      <c r="K196" s="570">
        <f>(J196+I196)</f>
        <v>29546.2</v>
      </c>
      <c r="L196" s="638"/>
    </row>
    <row r="197" spans="1:12" s="494" customFormat="1" ht="12.75" x14ac:dyDescent="0.2">
      <c r="A197" s="510"/>
      <c r="B197" s="511"/>
      <c r="C197" s="512" t="s">
        <v>390</v>
      </c>
      <c r="D197" s="912"/>
      <c r="E197" s="913"/>
      <c r="F197" s="913"/>
      <c r="G197" s="914"/>
      <c r="H197" s="594">
        <f>H193+H196</f>
        <v>54341.49</v>
      </c>
      <c r="I197" s="501">
        <f>(H197*65%)</f>
        <v>35321.97</v>
      </c>
      <c r="J197" s="499">
        <f>(H197*35%)</f>
        <v>19019.52</v>
      </c>
      <c r="K197" s="500">
        <f>(J197+I197)</f>
        <v>54341.49</v>
      </c>
    </row>
    <row r="198" spans="1:12" s="35" customFormat="1" ht="12.75" x14ac:dyDescent="0.2">
      <c r="A198" s="139" t="s">
        <v>206</v>
      </c>
      <c r="B198" s="169"/>
      <c r="C198" s="138" t="s">
        <v>479</v>
      </c>
      <c r="D198" s="609"/>
      <c r="E198" s="609"/>
      <c r="F198" s="609"/>
      <c r="G198" s="609"/>
      <c r="H198" s="609"/>
      <c r="I198" s="454"/>
      <c r="J198" s="489"/>
      <c r="K198" s="142"/>
    </row>
    <row r="199" spans="1:12" s="35" customFormat="1" ht="51" x14ac:dyDescent="0.2">
      <c r="A199" s="222" t="s">
        <v>218</v>
      </c>
      <c r="B199" s="253">
        <v>101878</v>
      </c>
      <c r="C199" s="252" t="s">
        <v>145</v>
      </c>
      <c r="D199" s="241" t="s">
        <v>50</v>
      </c>
      <c r="E199" s="296">
        <v>2</v>
      </c>
      <c r="F199" s="285">
        <v>646.91999999999996</v>
      </c>
      <c r="G199" s="221">
        <f>(F199*$E$9)+F199</f>
        <v>808.65</v>
      </c>
      <c r="H199" s="586">
        <f>E199*G199</f>
        <v>1617.3</v>
      </c>
      <c r="I199" s="376">
        <f t="shared" ref="I199:I215" si="43">(H199*65%)</f>
        <v>1051.25</v>
      </c>
      <c r="J199" s="390">
        <f>H199*35%</f>
        <v>566.05999999999995</v>
      </c>
      <c r="K199" s="142">
        <f>(J199+I199)</f>
        <v>1617.31</v>
      </c>
    </row>
    <row r="200" spans="1:12" s="35" customFormat="1" ht="25.5" customHeight="1" x14ac:dyDescent="0.2">
      <c r="A200" s="222" t="s">
        <v>219</v>
      </c>
      <c r="B200" s="253">
        <v>93654</v>
      </c>
      <c r="C200" s="256" t="s">
        <v>130</v>
      </c>
      <c r="D200" s="241" t="s">
        <v>50</v>
      </c>
      <c r="E200" s="296">
        <v>12</v>
      </c>
      <c r="F200" s="285">
        <v>12.21</v>
      </c>
      <c r="G200" s="221">
        <f t="shared" ref="G200:G212" si="44">(F200*$E$9)+F200</f>
        <v>15.26</v>
      </c>
      <c r="H200" s="586">
        <f t="shared" ref="H200:H208" si="45">E200*G200</f>
        <v>183.12</v>
      </c>
      <c r="I200" s="376">
        <f t="shared" si="43"/>
        <v>119.03</v>
      </c>
      <c r="J200" s="390">
        <f t="shared" ref="J200:J215" si="46">(H200*35%)</f>
        <v>64.09</v>
      </c>
      <c r="K200" s="142">
        <f>(J200+I200)</f>
        <v>183.12</v>
      </c>
    </row>
    <row r="201" spans="1:12" s="35" customFormat="1" ht="32.25" customHeight="1" x14ac:dyDescent="0.2">
      <c r="A201" s="222" t="s">
        <v>282</v>
      </c>
      <c r="B201" s="253">
        <v>93655</v>
      </c>
      <c r="C201" s="256" t="s">
        <v>131</v>
      </c>
      <c r="D201" s="241" t="s">
        <v>50</v>
      </c>
      <c r="E201" s="296">
        <v>7</v>
      </c>
      <c r="F201" s="285">
        <v>13.29</v>
      </c>
      <c r="G201" s="221">
        <f t="shared" si="44"/>
        <v>16.61</v>
      </c>
      <c r="H201" s="586">
        <f t="shared" si="45"/>
        <v>116.27</v>
      </c>
      <c r="I201" s="376">
        <f t="shared" si="43"/>
        <v>75.58</v>
      </c>
      <c r="J201" s="390">
        <f t="shared" si="46"/>
        <v>40.69</v>
      </c>
      <c r="K201" s="142">
        <f>(J201+I201)</f>
        <v>116.27</v>
      </c>
    </row>
    <row r="202" spans="1:12" s="35" customFormat="1" ht="27.75" customHeight="1" x14ac:dyDescent="0.2">
      <c r="A202" s="222" t="s">
        <v>283</v>
      </c>
      <c r="B202" s="253">
        <v>93657</v>
      </c>
      <c r="C202" s="256" t="s">
        <v>146</v>
      </c>
      <c r="D202" s="241" t="s">
        <v>50</v>
      </c>
      <c r="E202" s="296">
        <v>1</v>
      </c>
      <c r="F202" s="285">
        <v>14.57</v>
      </c>
      <c r="G202" s="221">
        <f t="shared" si="44"/>
        <v>18.21</v>
      </c>
      <c r="H202" s="586">
        <f t="shared" si="45"/>
        <v>18.21</v>
      </c>
      <c r="I202" s="376">
        <f t="shared" si="43"/>
        <v>11.84</v>
      </c>
      <c r="J202" s="390">
        <f t="shared" si="46"/>
        <v>6.37</v>
      </c>
      <c r="K202" s="142">
        <f>(J202+I202)</f>
        <v>18.21</v>
      </c>
    </row>
    <row r="203" spans="1:12" s="35" customFormat="1" ht="27.75" customHeight="1" x14ac:dyDescent="0.2">
      <c r="A203" s="222" t="s">
        <v>284</v>
      </c>
      <c r="B203" s="250">
        <v>91953</v>
      </c>
      <c r="C203" s="297" t="s">
        <v>132</v>
      </c>
      <c r="D203" s="241" t="s">
        <v>50</v>
      </c>
      <c r="E203" s="296">
        <v>9</v>
      </c>
      <c r="F203" s="285">
        <v>24.2</v>
      </c>
      <c r="G203" s="221">
        <f t="shared" si="44"/>
        <v>30.25</v>
      </c>
      <c r="H203" s="586">
        <f t="shared" si="45"/>
        <v>272.25</v>
      </c>
      <c r="I203" s="376">
        <f t="shared" si="43"/>
        <v>176.96</v>
      </c>
      <c r="J203" s="390">
        <f t="shared" si="46"/>
        <v>95.29</v>
      </c>
      <c r="K203" s="142">
        <f>(J203+I203)</f>
        <v>272.25</v>
      </c>
    </row>
    <row r="204" spans="1:12" s="35" customFormat="1" ht="27.75" customHeight="1" x14ac:dyDescent="0.2">
      <c r="A204" s="222" t="s">
        <v>285</v>
      </c>
      <c r="B204" s="250">
        <v>91958</v>
      </c>
      <c r="C204" s="297" t="s">
        <v>133</v>
      </c>
      <c r="D204" s="241" t="s">
        <v>50</v>
      </c>
      <c r="E204" s="296">
        <v>4</v>
      </c>
      <c r="F204" s="285">
        <v>30.7</v>
      </c>
      <c r="G204" s="221">
        <f t="shared" si="44"/>
        <v>38.380000000000003</v>
      </c>
      <c r="H204" s="586">
        <f t="shared" si="45"/>
        <v>153.52000000000001</v>
      </c>
      <c r="I204" s="376">
        <f t="shared" si="43"/>
        <v>99.79</v>
      </c>
      <c r="J204" s="390">
        <f t="shared" si="46"/>
        <v>53.73</v>
      </c>
      <c r="K204" s="142">
        <f>(J204+I204)</f>
        <v>153.52000000000001</v>
      </c>
    </row>
    <row r="205" spans="1:12" s="106" customFormat="1" ht="25.5" x14ac:dyDescent="0.2">
      <c r="A205" s="222" t="s">
        <v>286</v>
      </c>
      <c r="B205" s="250">
        <v>91967</v>
      </c>
      <c r="C205" s="297" t="s">
        <v>134</v>
      </c>
      <c r="D205" s="241" t="s">
        <v>50</v>
      </c>
      <c r="E205" s="296">
        <v>1</v>
      </c>
      <c r="F205" s="285">
        <v>52.46</v>
      </c>
      <c r="G205" s="221">
        <f t="shared" si="44"/>
        <v>65.58</v>
      </c>
      <c r="H205" s="586">
        <f t="shared" si="45"/>
        <v>65.58</v>
      </c>
      <c r="I205" s="376">
        <f t="shared" si="43"/>
        <v>42.63</v>
      </c>
      <c r="J205" s="390">
        <f t="shared" si="46"/>
        <v>22.95</v>
      </c>
      <c r="K205" s="142">
        <f>(J205+I205)</f>
        <v>65.58</v>
      </c>
      <c r="L205" s="35"/>
    </row>
    <row r="206" spans="1:12" s="35" customFormat="1" ht="25.5" x14ac:dyDescent="0.2">
      <c r="A206" s="222" t="s">
        <v>287</v>
      </c>
      <c r="B206" s="250">
        <v>97593</v>
      </c>
      <c r="C206" s="297" t="s">
        <v>135</v>
      </c>
      <c r="D206" s="241" t="s">
        <v>50</v>
      </c>
      <c r="E206" s="296">
        <v>43</v>
      </c>
      <c r="F206" s="285">
        <v>178.64</v>
      </c>
      <c r="G206" s="221">
        <f t="shared" si="44"/>
        <v>223.3</v>
      </c>
      <c r="H206" s="586">
        <f t="shared" si="45"/>
        <v>9601.9</v>
      </c>
      <c r="I206" s="376">
        <f t="shared" si="43"/>
        <v>6241.24</v>
      </c>
      <c r="J206" s="390">
        <f t="shared" si="46"/>
        <v>3360.67</v>
      </c>
      <c r="K206" s="142">
        <f>(J206+I206)</f>
        <v>9601.91</v>
      </c>
    </row>
    <row r="207" spans="1:12" s="35" customFormat="1" ht="25.5" x14ac:dyDescent="0.2">
      <c r="A207" s="222" t="s">
        <v>288</v>
      </c>
      <c r="B207" s="250">
        <v>92000</v>
      </c>
      <c r="C207" s="297" t="s">
        <v>136</v>
      </c>
      <c r="D207" s="241" t="s">
        <v>50</v>
      </c>
      <c r="E207" s="296">
        <v>29</v>
      </c>
      <c r="F207" s="285">
        <v>25.63</v>
      </c>
      <c r="G207" s="221">
        <f t="shared" si="44"/>
        <v>32.04</v>
      </c>
      <c r="H207" s="586">
        <f t="shared" si="45"/>
        <v>929.16</v>
      </c>
      <c r="I207" s="376">
        <f t="shared" si="43"/>
        <v>603.95000000000005</v>
      </c>
      <c r="J207" s="390">
        <f t="shared" si="46"/>
        <v>325.20999999999998</v>
      </c>
      <c r="K207" s="142">
        <f>(J207+I207)</f>
        <v>929.16</v>
      </c>
    </row>
    <row r="208" spans="1:12" s="35" customFormat="1" ht="25.5" x14ac:dyDescent="0.2">
      <c r="A208" s="222" t="s">
        <v>289</v>
      </c>
      <c r="B208" s="250">
        <v>92004</v>
      </c>
      <c r="C208" s="297" t="s">
        <v>137</v>
      </c>
      <c r="D208" s="241" t="s">
        <v>50</v>
      </c>
      <c r="E208" s="296">
        <v>8</v>
      </c>
      <c r="F208" s="285">
        <v>47.14</v>
      </c>
      <c r="G208" s="221">
        <f t="shared" si="44"/>
        <v>58.93</v>
      </c>
      <c r="H208" s="586">
        <f t="shared" si="45"/>
        <v>471.44</v>
      </c>
      <c r="I208" s="376">
        <f t="shared" si="43"/>
        <v>306.44</v>
      </c>
      <c r="J208" s="390">
        <f t="shared" si="46"/>
        <v>165</v>
      </c>
      <c r="K208" s="178">
        <f>(J208+I208)</f>
        <v>471.44</v>
      </c>
      <c r="L208" s="179"/>
    </row>
    <row r="209" spans="1:12" s="35" customFormat="1" ht="28.5" customHeight="1" x14ac:dyDescent="0.2">
      <c r="A209" s="222" t="s">
        <v>290</v>
      </c>
      <c r="B209" s="250">
        <v>91993</v>
      </c>
      <c r="C209" s="297" t="s">
        <v>138</v>
      </c>
      <c r="D209" s="241" t="s">
        <v>50</v>
      </c>
      <c r="E209" s="296">
        <v>16</v>
      </c>
      <c r="F209" s="285">
        <v>38.68</v>
      </c>
      <c r="G209" s="221">
        <f t="shared" si="44"/>
        <v>48.35</v>
      </c>
      <c r="H209" s="586">
        <f t="shared" ref="H209:H215" si="47">E209*G209</f>
        <v>773.6</v>
      </c>
      <c r="I209" s="376">
        <f t="shared" si="43"/>
        <v>502.84</v>
      </c>
      <c r="J209" s="390">
        <f t="shared" si="46"/>
        <v>270.76</v>
      </c>
      <c r="K209" s="142">
        <f>(J209+I209)</f>
        <v>773.6</v>
      </c>
    </row>
    <row r="210" spans="1:12" s="35" customFormat="1" ht="28.5" customHeight="1" x14ac:dyDescent="0.2">
      <c r="A210" s="222" t="s">
        <v>291</v>
      </c>
      <c r="B210" s="250">
        <v>91983</v>
      </c>
      <c r="C210" s="298" t="s">
        <v>191</v>
      </c>
      <c r="D210" s="275" t="s">
        <v>50</v>
      </c>
      <c r="E210" s="260">
        <v>8</v>
      </c>
      <c r="F210" s="261">
        <v>98.83</v>
      </c>
      <c r="G210" s="262">
        <f t="shared" si="44"/>
        <v>123.54</v>
      </c>
      <c r="H210" s="576">
        <f t="shared" si="47"/>
        <v>988.32</v>
      </c>
      <c r="I210" s="376">
        <f t="shared" si="43"/>
        <v>642.41</v>
      </c>
      <c r="J210" s="390">
        <f t="shared" si="46"/>
        <v>345.91</v>
      </c>
      <c r="K210" s="142">
        <f>(J210+I210)</f>
        <v>988.32</v>
      </c>
    </row>
    <row r="211" spans="1:12" s="35" customFormat="1" ht="27.75" customHeight="1" x14ac:dyDescent="0.2">
      <c r="A211" s="222" t="s">
        <v>292</v>
      </c>
      <c r="B211" s="250">
        <v>91932</v>
      </c>
      <c r="C211" s="298" t="s">
        <v>346</v>
      </c>
      <c r="D211" s="276" t="s">
        <v>81</v>
      </c>
      <c r="E211" s="276">
        <v>24.95</v>
      </c>
      <c r="F211" s="272">
        <v>15.45</v>
      </c>
      <c r="G211" s="189">
        <f t="shared" ref="G211" si="48">(F211*$E$9)+F211</f>
        <v>19.309999999999999</v>
      </c>
      <c r="H211" s="577">
        <f t="shared" ref="H211" si="49">E211*G211</f>
        <v>481.78</v>
      </c>
      <c r="I211" s="376">
        <f t="shared" ref="I211" si="50">(H211*65%)</f>
        <v>313.16000000000003</v>
      </c>
      <c r="J211" s="390">
        <f t="shared" ref="J211" si="51">(H211*35%)</f>
        <v>168.62</v>
      </c>
      <c r="K211" s="142">
        <f>(J211+I211)</f>
        <v>481.78</v>
      </c>
    </row>
    <row r="212" spans="1:12" s="179" customFormat="1" ht="25.5" x14ac:dyDescent="0.2">
      <c r="A212" s="222" t="s">
        <v>293</v>
      </c>
      <c r="B212" s="250">
        <v>91926</v>
      </c>
      <c r="C212" s="298" t="s">
        <v>139</v>
      </c>
      <c r="D212" s="276" t="s">
        <v>81</v>
      </c>
      <c r="E212" s="276">
        <v>1236.6099999999999</v>
      </c>
      <c r="F212" s="272">
        <v>4.0999999999999996</v>
      </c>
      <c r="G212" s="276">
        <f t="shared" si="44"/>
        <v>5.125</v>
      </c>
      <c r="H212" s="577">
        <f t="shared" si="47"/>
        <v>6337.63</v>
      </c>
      <c r="I212" s="376">
        <f t="shared" si="43"/>
        <v>4119.46</v>
      </c>
      <c r="J212" s="390">
        <f t="shared" si="46"/>
        <v>2218.17</v>
      </c>
      <c r="K212" s="142">
        <f>(J212+I212)</f>
        <v>6337.63</v>
      </c>
      <c r="L212" s="35"/>
    </row>
    <row r="213" spans="1:12" s="182" customFormat="1" ht="25.5" x14ac:dyDescent="0.2">
      <c r="A213" s="222" t="s">
        <v>294</v>
      </c>
      <c r="B213" s="250">
        <v>91930</v>
      </c>
      <c r="C213" s="298" t="s">
        <v>122</v>
      </c>
      <c r="D213" s="241" t="s">
        <v>81</v>
      </c>
      <c r="E213" s="296">
        <v>309.3</v>
      </c>
      <c r="F213" s="285">
        <v>9.32</v>
      </c>
      <c r="G213" s="221">
        <f t="shared" ref="G213:G215" si="52">(F213*$E$9)+F213</f>
        <v>11.65</v>
      </c>
      <c r="H213" s="586">
        <f t="shared" si="47"/>
        <v>3603.35</v>
      </c>
      <c r="I213" s="376">
        <f t="shared" si="43"/>
        <v>2342.1799999999998</v>
      </c>
      <c r="J213" s="390">
        <f t="shared" si="46"/>
        <v>1261.17</v>
      </c>
      <c r="K213" s="142">
        <f>(J213+I213)</f>
        <v>3603.35</v>
      </c>
      <c r="L213" s="35"/>
    </row>
    <row r="214" spans="1:12" s="35" customFormat="1" ht="38.25" x14ac:dyDescent="0.2">
      <c r="A214" s="222" t="s">
        <v>295</v>
      </c>
      <c r="B214" s="250">
        <v>91836</v>
      </c>
      <c r="C214" s="298" t="s">
        <v>140</v>
      </c>
      <c r="D214" s="222" t="s">
        <v>81</v>
      </c>
      <c r="E214" s="223">
        <v>154.55000000000001</v>
      </c>
      <c r="F214" s="190">
        <v>10.98</v>
      </c>
      <c r="G214" s="221">
        <f t="shared" si="52"/>
        <v>13.73</v>
      </c>
      <c r="H214" s="586">
        <f t="shared" si="47"/>
        <v>2121.9699999999998</v>
      </c>
      <c r="I214" s="376">
        <f t="shared" si="43"/>
        <v>1379.28</v>
      </c>
      <c r="J214" s="390">
        <f t="shared" si="46"/>
        <v>742.69</v>
      </c>
      <c r="K214" s="142">
        <f>(J214+I214)</f>
        <v>2121.9699999999998</v>
      </c>
    </row>
    <row r="215" spans="1:12" s="35" customFormat="1" ht="60" customHeight="1" x14ac:dyDescent="0.2">
      <c r="A215" s="222" t="s">
        <v>347</v>
      </c>
      <c r="B215" s="250">
        <v>91856</v>
      </c>
      <c r="C215" s="298" t="s">
        <v>141</v>
      </c>
      <c r="D215" s="222" t="s">
        <v>81</v>
      </c>
      <c r="E215" s="223">
        <v>68.150000000000006</v>
      </c>
      <c r="F215" s="190">
        <v>10.98</v>
      </c>
      <c r="G215" s="221">
        <f t="shared" si="52"/>
        <v>13.73</v>
      </c>
      <c r="H215" s="586">
        <f t="shared" si="47"/>
        <v>935.7</v>
      </c>
      <c r="I215" s="376">
        <f t="shared" si="43"/>
        <v>608.21</v>
      </c>
      <c r="J215" s="390">
        <f t="shared" si="46"/>
        <v>327.5</v>
      </c>
      <c r="K215" s="142">
        <f>(J215+I215)</f>
        <v>935.71</v>
      </c>
    </row>
    <row r="216" spans="1:12" s="536" customFormat="1" ht="12.95" customHeight="1" x14ac:dyDescent="0.2">
      <c r="A216" s="330"/>
      <c r="B216" s="329"/>
      <c r="C216" s="366" t="s">
        <v>362</v>
      </c>
      <c r="D216" s="330"/>
      <c r="E216" s="331"/>
      <c r="F216" s="332"/>
      <c r="G216" s="333"/>
      <c r="H216" s="587">
        <f>SUM(H199:H215)</f>
        <v>28671.1</v>
      </c>
      <c r="I216" s="418">
        <f>SUM(I199:I215)</f>
        <v>18636.25</v>
      </c>
      <c r="J216" s="396">
        <f>SUM(J199:J215)</f>
        <v>10034.879999999999</v>
      </c>
      <c r="K216" s="312">
        <f>(J216+I216)</f>
        <v>28671.13</v>
      </c>
    </row>
    <row r="217" spans="1:12" s="244" customFormat="1" ht="20.25" customHeight="1" x14ac:dyDescent="0.2">
      <c r="A217" s="249" t="s">
        <v>127</v>
      </c>
      <c r="B217" s="167"/>
      <c r="C217" s="163" t="s">
        <v>391</v>
      </c>
      <c r="D217" s="608"/>
      <c r="E217" s="608"/>
      <c r="F217" s="608"/>
      <c r="G217" s="608"/>
      <c r="H217" s="608"/>
      <c r="I217" s="395"/>
      <c r="J217" s="488"/>
      <c r="K217" s="243"/>
    </row>
    <row r="218" spans="1:12" s="35" customFormat="1" ht="26.25" customHeight="1" x14ac:dyDescent="0.2">
      <c r="A218" s="222" t="s">
        <v>220</v>
      </c>
      <c r="B218" s="253">
        <v>101878</v>
      </c>
      <c r="C218" s="252" t="s">
        <v>145</v>
      </c>
      <c r="D218" s="241" t="s">
        <v>50</v>
      </c>
      <c r="E218" s="296">
        <v>1</v>
      </c>
      <c r="F218" s="285">
        <v>646.91999999999996</v>
      </c>
      <c r="G218" s="221">
        <f>(F218*$E$9)+F218</f>
        <v>808.65</v>
      </c>
      <c r="H218" s="586">
        <f>E218*G218</f>
        <v>808.65</v>
      </c>
      <c r="I218" s="376">
        <f t="shared" ref="I218:I234" si="53">(H218*65%)</f>
        <v>525.62</v>
      </c>
      <c r="J218" s="390">
        <f>H218*35%</f>
        <v>283.02999999999997</v>
      </c>
      <c r="K218" s="312">
        <f>(J218+I218)</f>
        <v>808.65</v>
      </c>
      <c r="L218" s="106"/>
    </row>
    <row r="219" spans="1:12" s="179" customFormat="1" ht="30" customHeight="1" x14ac:dyDescent="0.2">
      <c r="A219" s="222" t="s">
        <v>221</v>
      </c>
      <c r="B219" s="253">
        <v>93654</v>
      </c>
      <c r="C219" s="256" t="s">
        <v>130</v>
      </c>
      <c r="D219" s="241" t="s">
        <v>50</v>
      </c>
      <c r="E219" s="296">
        <v>5</v>
      </c>
      <c r="F219" s="285">
        <v>12.21</v>
      </c>
      <c r="G219" s="221">
        <f t="shared" ref="G219:G233" si="54">(F219*$E$9)+F219</f>
        <v>15.26</v>
      </c>
      <c r="H219" s="586">
        <f t="shared" ref="H219:H233" si="55">E219*G219</f>
        <v>76.3</v>
      </c>
      <c r="I219" s="376">
        <f t="shared" si="53"/>
        <v>49.6</v>
      </c>
      <c r="J219" s="390">
        <f t="shared" ref="J219:J234" si="56">(H219*35%)</f>
        <v>26.71</v>
      </c>
      <c r="K219" s="312">
        <f>(J219+I219)</f>
        <v>76.31</v>
      </c>
      <c r="L219" s="35"/>
    </row>
    <row r="220" spans="1:12" s="35" customFormat="1" ht="27.75" customHeight="1" x14ac:dyDescent="0.2">
      <c r="A220" s="222" t="s">
        <v>296</v>
      </c>
      <c r="B220" s="253">
        <v>93655</v>
      </c>
      <c r="C220" s="256" t="s">
        <v>131</v>
      </c>
      <c r="D220" s="241" t="s">
        <v>50</v>
      </c>
      <c r="E220" s="296">
        <v>4</v>
      </c>
      <c r="F220" s="285">
        <v>13.29</v>
      </c>
      <c r="G220" s="221">
        <f t="shared" si="54"/>
        <v>16.61</v>
      </c>
      <c r="H220" s="586">
        <f t="shared" si="55"/>
        <v>66.44</v>
      </c>
      <c r="I220" s="376">
        <f t="shared" si="53"/>
        <v>43.19</v>
      </c>
      <c r="J220" s="390">
        <f t="shared" si="56"/>
        <v>23.25</v>
      </c>
      <c r="K220" s="312">
        <f>(J220+I220)</f>
        <v>66.44</v>
      </c>
    </row>
    <row r="221" spans="1:12" s="35" customFormat="1" ht="27" customHeight="1" x14ac:dyDescent="0.2">
      <c r="A221" s="222" t="s">
        <v>297</v>
      </c>
      <c r="B221" s="250">
        <v>91953</v>
      </c>
      <c r="C221" s="297" t="s">
        <v>132</v>
      </c>
      <c r="D221" s="241" t="s">
        <v>50</v>
      </c>
      <c r="E221" s="296">
        <v>3</v>
      </c>
      <c r="F221" s="285">
        <v>24.2</v>
      </c>
      <c r="G221" s="221">
        <f t="shared" si="54"/>
        <v>30.25</v>
      </c>
      <c r="H221" s="586">
        <f t="shared" si="55"/>
        <v>90.75</v>
      </c>
      <c r="I221" s="376">
        <f t="shared" si="53"/>
        <v>58.99</v>
      </c>
      <c r="J221" s="390">
        <f t="shared" si="56"/>
        <v>31.76</v>
      </c>
      <c r="K221" s="312">
        <f>(J221+I221)</f>
        <v>90.75</v>
      </c>
    </row>
    <row r="222" spans="1:12" s="35" customFormat="1" ht="42.75" customHeight="1" x14ac:dyDescent="0.2">
      <c r="A222" s="222" t="s">
        <v>298</v>
      </c>
      <c r="B222" s="250">
        <v>92027</v>
      </c>
      <c r="C222" s="297" t="s">
        <v>227</v>
      </c>
      <c r="D222" s="241" t="s">
        <v>50</v>
      </c>
      <c r="E222" s="296">
        <v>3</v>
      </c>
      <c r="F222" s="285">
        <v>56.84</v>
      </c>
      <c r="G222" s="221">
        <f t="shared" si="54"/>
        <v>71.05</v>
      </c>
      <c r="H222" s="586">
        <f t="shared" si="55"/>
        <v>213.15</v>
      </c>
      <c r="I222" s="376">
        <f t="shared" si="53"/>
        <v>138.55000000000001</v>
      </c>
      <c r="J222" s="390">
        <f t="shared" si="56"/>
        <v>74.599999999999994</v>
      </c>
      <c r="K222" s="312">
        <f>(J222+I222)</f>
        <v>213.15</v>
      </c>
    </row>
    <row r="223" spans="1:12" s="35" customFormat="1" ht="30.75" customHeight="1" x14ac:dyDescent="0.2">
      <c r="A223" s="222" t="s">
        <v>299</v>
      </c>
      <c r="B223" s="250">
        <v>91967</v>
      </c>
      <c r="C223" s="297" t="s">
        <v>134</v>
      </c>
      <c r="D223" s="241" t="s">
        <v>50</v>
      </c>
      <c r="E223" s="296">
        <v>2</v>
      </c>
      <c r="F223" s="285">
        <v>52.46</v>
      </c>
      <c r="G223" s="221">
        <f t="shared" si="54"/>
        <v>65.58</v>
      </c>
      <c r="H223" s="586">
        <f t="shared" si="55"/>
        <v>131.16</v>
      </c>
      <c r="I223" s="376">
        <f t="shared" si="53"/>
        <v>85.25</v>
      </c>
      <c r="J223" s="390">
        <f t="shared" si="56"/>
        <v>45.91</v>
      </c>
      <c r="K223" s="312">
        <f>(J223+I223)</f>
        <v>131.16</v>
      </c>
      <c r="L223" s="182"/>
    </row>
    <row r="224" spans="1:12" s="35" customFormat="1" ht="30.75" customHeight="1" x14ac:dyDescent="0.2">
      <c r="A224" s="222" t="s">
        <v>300</v>
      </c>
      <c r="B224" s="250">
        <v>97605</v>
      </c>
      <c r="C224" s="297" t="s">
        <v>228</v>
      </c>
      <c r="D224" s="241" t="s">
        <v>50</v>
      </c>
      <c r="E224" s="296">
        <v>1</v>
      </c>
      <c r="F224" s="285">
        <v>111.76</v>
      </c>
      <c r="G224" s="221">
        <f t="shared" si="54"/>
        <v>139.69999999999999</v>
      </c>
      <c r="H224" s="586">
        <f t="shared" si="55"/>
        <v>139.69999999999999</v>
      </c>
      <c r="I224" s="376">
        <f t="shared" si="53"/>
        <v>90.81</v>
      </c>
      <c r="J224" s="390">
        <f t="shared" si="56"/>
        <v>48.9</v>
      </c>
      <c r="K224" s="312">
        <f>(J224+I224)</f>
        <v>139.71</v>
      </c>
      <c r="L224" s="182"/>
    </row>
    <row r="225" spans="1:12" s="35" customFormat="1" ht="31.5" customHeight="1" x14ac:dyDescent="0.2">
      <c r="A225" s="222" t="s">
        <v>301</v>
      </c>
      <c r="B225" s="250">
        <v>97593</v>
      </c>
      <c r="C225" s="297" t="s">
        <v>135</v>
      </c>
      <c r="D225" s="241" t="s">
        <v>50</v>
      </c>
      <c r="E225" s="296">
        <v>33</v>
      </c>
      <c r="F225" s="285">
        <v>178.64</v>
      </c>
      <c r="G225" s="221">
        <f t="shared" si="54"/>
        <v>223.3</v>
      </c>
      <c r="H225" s="586">
        <f t="shared" si="55"/>
        <v>7368.9</v>
      </c>
      <c r="I225" s="376">
        <f t="shared" si="53"/>
        <v>4789.79</v>
      </c>
      <c r="J225" s="390">
        <f t="shared" si="56"/>
        <v>2579.12</v>
      </c>
      <c r="K225" s="312">
        <f>(J225+I225)</f>
        <v>7368.91</v>
      </c>
    </row>
    <row r="226" spans="1:12" s="35" customFormat="1" ht="27" customHeight="1" x14ac:dyDescent="0.2">
      <c r="A226" s="222" t="s">
        <v>302</v>
      </c>
      <c r="B226" s="250">
        <v>92000</v>
      </c>
      <c r="C226" s="297" t="s">
        <v>136</v>
      </c>
      <c r="D226" s="241" t="s">
        <v>50</v>
      </c>
      <c r="E226" s="296">
        <v>16</v>
      </c>
      <c r="F226" s="285">
        <v>25.63</v>
      </c>
      <c r="G226" s="221">
        <f t="shared" si="54"/>
        <v>32.04</v>
      </c>
      <c r="H226" s="586">
        <f t="shared" si="55"/>
        <v>512.64</v>
      </c>
      <c r="I226" s="376">
        <f t="shared" si="53"/>
        <v>333.22</v>
      </c>
      <c r="J226" s="390">
        <f t="shared" si="56"/>
        <v>179.42</v>
      </c>
      <c r="K226" s="312">
        <f>(J226+I226)</f>
        <v>512.64</v>
      </c>
    </row>
    <row r="227" spans="1:12" s="35" customFormat="1" ht="26.25" customHeight="1" x14ac:dyDescent="0.2">
      <c r="A227" s="222" t="s">
        <v>303</v>
      </c>
      <c r="B227" s="250">
        <v>92004</v>
      </c>
      <c r="C227" s="297" t="s">
        <v>137</v>
      </c>
      <c r="D227" s="241" t="s">
        <v>50</v>
      </c>
      <c r="E227" s="296">
        <v>2</v>
      </c>
      <c r="F227" s="285">
        <v>47.14</v>
      </c>
      <c r="G227" s="221">
        <f t="shared" si="54"/>
        <v>58.93</v>
      </c>
      <c r="H227" s="586">
        <f t="shared" si="55"/>
        <v>117.86</v>
      </c>
      <c r="I227" s="376">
        <f t="shared" si="53"/>
        <v>76.61</v>
      </c>
      <c r="J227" s="390">
        <f t="shared" si="56"/>
        <v>41.25</v>
      </c>
      <c r="K227" s="312">
        <f>(J227+I227)</f>
        <v>117.86</v>
      </c>
    </row>
    <row r="228" spans="1:12" s="35" customFormat="1" ht="24.75" customHeight="1" x14ac:dyDescent="0.2">
      <c r="A228" s="222" t="s">
        <v>304</v>
      </c>
      <c r="B228" s="250">
        <v>91993</v>
      </c>
      <c r="C228" s="297" t="s">
        <v>138</v>
      </c>
      <c r="D228" s="241" t="s">
        <v>50</v>
      </c>
      <c r="E228" s="296">
        <v>8</v>
      </c>
      <c r="F228" s="285">
        <v>38.68</v>
      </c>
      <c r="G228" s="221">
        <f t="shared" si="54"/>
        <v>48.35</v>
      </c>
      <c r="H228" s="586">
        <f t="shared" si="55"/>
        <v>386.8</v>
      </c>
      <c r="I228" s="376">
        <f t="shared" si="53"/>
        <v>251.42</v>
      </c>
      <c r="J228" s="390">
        <f t="shared" si="56"/>
        <v>135.38</v>
      </c>
      <c r="K228" s="312">
        <f>(J228+I228)</f>
        <v>386.8</v>
      </c>
    </row>
    <row r="229" spans="1:12" s="35" customFormat="1" ht="25.5" x14ac:dyDescent="0.2">
      <c r="A229" s="222" t="s">
        <v>305</v>
      </c>
      <c r="B229" s="250">
        <v>91983</v>
      </c>
      <c r="C229" s="298" t="s">
        <v>191</v>
      </c>
      <c r="D229" s="275" t="s">
        <v>50</v>
      </c>
      <c r="E229" s="260">
        <v>2</v>
      </c>
      <c r="F229" s="261">
        <v>98.83</v>
      </c>
      <c r="G229" s="262">
        <f t="shared" si="54"/>
        <v>123.54</v>
      </c>
      <c r="H229" s="576">
        <f t="shared" si="55"/>
        <v>247.08</v>
      </c>
      <c r="I229" s="376">
        <f t="shared" si="53"/>
        <v>160.6</v>
      </c>
      <c r="J229" s="390">
        <f t="shared" si="56"/>
        <v>86.48</v>
      </c>
      <c r="K229" s="312">
        <f>(J229+I229)</f>
        <v>247.08</v>
      </c>
    </row>
    <row r="230" spans="1:12" s="35" customFormat="1" ht="25.5" x14ac:dyDescent="0.2">
      <c r="A230" s="222" t="s">
        <v>306</v>
      </c>
      <c r="B230" s="250">
        <v>91926</v>
      </c>
      <c r="C230" s="298" t="s">
        <v>139</v>
      </c>
      <c r="D230" s="276" t="s">
        <v>81</v>
      </c>
      <c r="E230" s="276">
        <v>760.55</v>
      </c>
      <c r="F230" s="272">
        <v>4.0999999999999996</v>
      </c>
      <c r="G230" s="276">
        <f t="shared" si="54"/>
        <v>5.125</v>
      </c>
      <c r="H230" s="577">
        <f t="shared" si="55"/>
        <v>3897.82</v>
      </c>
      <c r="I230" s="376">
        <f t="shared" si="53"/>
        <v>2533.58</v>
      </c>
      <c r="J230" s="390">
        <f t="shared" si="56"/>
        <v>1364.24</v>
      </c>
      <c r="K230" s="312">
        <f>(J230+I230)</f>
        <v>3897.82</v>
      </c>
      <c r="L230" s="182"/>
    </row>
    <row r="231" spans="1:12" s="35" customFormat="1" ht="42" customHeight="1" x14ac:dyDescent="0.2">
      <c r="A231" s="222" t="s">
        <v>307</v>
      </c>
      <c r="B231" s="250">
        <v>91930</v>
      </c>
      <c r="C231" s="298" t="s">
        <v>122</v>
      </c>
      <c r="D231" s="241" t="s">
        <v>81</v>
      </c>
      <c r="E231" s="296">
        <v>112.42</v>
      </c>
      <c r="F231" s="285">
        <v>9.32</v>
      </c>
      <c r="G231" s="221">
        <f t="shared" si="54"/>
        <v>11.65</v>
      </c>
      <c r="H231" s="586">
        <f t="shared" si="55"/>
        <v>1309.69</v>
      </c>
      <c r="I231" s="376">
        <f t="shared" si="53"/>
        <v>851.3</v>
      </c>
      <c r="J231" s="390">
        <f t="shared" si="56"/>
        <v>458.39</v>
      </c>
      <c r="K231" s="312">
        <f>(J231+I231)</f>
        <v>1309.69</v>
      </c>
    </row>
    <row r="232" spans="1:12" s="77" customFormat="1" ht="34.5" customHeight="1" x14ac:dyDescent="0.2">
      <c r="A232" s="222" t="s">
        <v>308</v>
      </c>
      <c r="B232" s="250">
        <v>91836</v>
      </c>
      <c r="C232" s="298" t="s">
        <v>140</v>
      </c>
      <c r="D232" s="222" t="s">
        <v>81</v>
      </c>
      <c r="E232" s="223">
        <v>92.59</v>
      </c>
      <c r="F232" s="190">
        <v>10.98</v>
      </c>
      <c r="G232" s="221">
        <f t="shared" si="54"/>
        <v>13.73</v>
      </c>
      <c r="H232" s="586">
        <f t="shared" si="55"/>
        <v>1271.26</v>
      </c>
      <c r="I232" s="376">
        <f t="shared" si="53"/>
        <v>826.32</v>
      </c>
      <c r="J232" s="390">
        <f t="shared" si="56"/>
        <v>444.94</v>
      </c>
      <c r="K232" s="312">
        <f>(J232+I232)</f>
        <v>1271.26</v>
      </c>
      <c r="L232" s="35"/>
    </row>
    <row r="233" spans="1:12" s="77" customFormat="1" ht="42" customHeight="1" x14ac:dyDescent="0.2">
      <c r="A233" s="222" t="s">
        <v>309</v>
      </c>
      <c r="B233" s="250">
        <v>91856</v>
      </c>
      <c r="C233" s="298" t="s">
        <v>141</v>
      </c>
      <c r="D233" s="222" t="s">
        <v>81</v>
      </c>
      <c r="E233" s="223">
        <v>73.849999999999994</v>
      </c>
      <c r="F233" s="190">
        <v>10.98</v>
      </c>
      <c r="G233" s="221">
        <f t="shared" si="54"/>
        <v>13.73</v>
      </c>
      <c r="H233" s="586">
        <f t="shared" si="55"/>
        <v>1013.96</v>
      </c>
      <c r="I233" s="376">
        <f t="shared" si="53"/>
        <v>659.07</v>
      </c>
      <c r="J233" s="390">
        <f t="shared" si="56"/>
        <v>354.89</v>
      </c>
      <c r="K233" s="312">
        <f>(J233+I233)</f>
        <v>1013.96</v>
      </c>
      <c r="L233" s="35"/>
    </row>
    <row r="234" spans="1:12" s="537" customFormat="1" ht="12.75" x14ac:dyDescent="0.2">
      <c r="A234" s="222"/>
      <c r="B234" s="250"/>
      <c r="C234" s="367" t="s">
        <v>362</v>
      </c>
      <c r="D234" s="222"/>
      <c r="E234" s="223"/>
      <c r="F234" s="190"/>
      <c r="G234" s="221"/>
      <c r="H234" s="401">
        <f>H218+H219+H220+H221+H222+H223+H224+H225+H226+H227+H228+H229+H230+H231+H232+H233</f>
        <v>17652.16</v>
      </c>
      <c r="I234" s="418">
        <f>(H234*65%)</f>
        <v>11473.9</v>
      </c>
      <c r="J234" s="396">
        <f t="shared" si="56"/>
        <v>6178.26</v>
      </c>
      <c r="K234" s="313">
        <f>(J234+I234)</f>
        <v>17652.16</v>
      </c>
      <c r="L234" s="536"/>
    </row>
    <row r="235" spans="1:12" s="182" customFormat="1" ht="12.95" customHeight="1" x14ac:dyDescent="0.2">
      <c r="A235" s="532"/>
      <c r="B235" s="677"/>
      <c r="C235" s="678" t="s">
        <v>480</v>
      </c>
      <c r="D235" s="902"/>
      <c r="E235" s="903"/>
      <c r="F235" s="903"/>
      <c r="G235" s="903"/>
      <c r="H235" s="676">
        <f>H216</f>
        <v>28671.1</v>
      </c>
      <c r="I235" s="556">
        <f>(H235*65%)</f>
        <v>18636.22</v>
      </c>
      <c r="J235" s="555">
        <f>(H235*35%)</f>
        <v>10034.89</v>
      </c>
      <c r="K235" s="181">
        <f>(J235+I235)</f>
        <v>28671.11</v>
      </c>
    </row>
    <row r="236" spans="1:12" s="638" customFormat="1" ht="12.75" x14ac:dyDescent="0.2">
      <c r="A236" s="627"/>
      <c r="B236" s="628"/>
      <c r="C236" s="640" t="s">
        <v>446</v>
      </c>
      <c r="D236" s="872"/>
      <c r="E236" s="873"/>
      <c r="F236" s="873"/>
      <c r="G236" s="874"/>
      <c r="H236" s="630">
        <f>H234</f>
        <v>17652.16</v>
      </c>
      <c r="I236" s="580">
        <f t="shared" ref="I236" si="57">(H236*65%)</f>
        <v>11473.9</v>
      </c>
      <c r="J236" s="626">
        <f t="shared" ref="J236" si="58">(H236*35%)</f>
        <v>6178.26</v>
      </c>
      <c r="K236" s="641">
        <f>(J236+I236)</f>
        <v>17652.16</v>
      </c>
      <c r="L236" s="571"/>
    </row>
    <row r="237" spans="1:12" s="494" customFormat="1" ht="12.75" x14ac:dyDescent="0.2">
      <c r="A237" s="510"/>
      <c r="B237" s="511"/>
      <c r="C237" s="503" t="s">
        <v>392</v>
      </c>
      <c r="D237" s="869"/>
      <c r="E237" s="870"/>
      <c r="F237" s="870"/>
      <c r="G237" s="871"/>
      <c r="H237" s="521">
        <f>H199+H200+H201+H202+H203+H204+H205+H206+H207+H208+H209+H210+H212+H213+H214+H215+H218+H219+H220+H221+H222+H223+H224+H225+H226+H227+H228+H229+H230+H231+H232+H233+H211</f>
        <v>46323.26</v>
      </c>
      <c r="I237" s="501">
        <f>(H237*65%)</f>
        <v>30110.12</v>
      </c>
      <c r="J237" s="499">
        <f>H237*35%</f>
        <v>16213.14</v>
      </c>
      <c r="K237" s="500">
        <f>(J237+I237)</f>
        <v>46323.26</v>
      </c>
    </row>
    <row r="238" spans="1:12" s="35" customFormat="1" ht="12.75" x14ac:dyDescent="0.2">
      <c r="A238" s="139" t="s">
        <v>128</v>
      </c>
      <c r="B238" s="169"/>
      <c r="C238" s="138" t="s">
        <v>481</v>
      </c>
      <c r="D238" s="607"/>
      <c r="E238" s="607"/>
      <c r="F238" s="607"/>
      <c r="G238" s="607"/>
      <c r="H238" s="607"/>
      <c r="I238" s="454"/>
      <c r="J238" s="489"/>
      <c r="K238" s="142"/>
    </row>
    <row r="239" spans="1:12" s="35" customFormat="1" ht="25.5" x14ac:dyDescent="0.2">
      <c r="A239" s="222" t="s">
        <v>310</v>
      </c>
      <c r="B239" s="250">
        <v>86902</v>
      </c>
      <c r="C239" s="256" t="s">
        <v>148</v>
      </c>
      <c r="D239" s="222" t="s">
        <v>50</v>
      </c>
      <c r="E239" s="223">
        <v>1</v>
      </c>
      <c r="F239" s="190">
        <v>277.64</v>
      </c>
      <c r="G239" s="221">
        <f t="shared" ref="G239:G247" si="59">(F239*$E$9)+F239</f>
        <v>347.05</v>
      </c>
      <c r="H239" s="586">
        <f t="shared" ref="H239:H265" si="60">E239*G239</f>
        <v>347.05</v>
      </c>
      <c r="I239" s="376">
        <f t="shared" ref="I239:I265" si="61">(H239*65%)</f>
        <v>225.58</v>
      </c>
      <c r="J239" s="390">
        <f t="shared" ref="J239:J265" si="62">(H239*35%)</f>
        <v>121.47</v>
      </c>
      <c r="K239" s="142">
        <f>(J239+I239)</f>
        <v>347.05</v>
      </c>
    </row>
    <row r="240" spans="1:12" s="77" customFormat="1" ht="25.5" x14ac:dyDescent="0.2">
      <c r="A240" s="222" t="s">
        <v>311</v>
      </c>
      <c r="B240" s="250">
        <v>86906</v>
      </c>
      <c r="C240" s="256" t="s">
        <v>142</v>
      </c>
      <c r="D240" s="222" t="s">
        <v>50</v>
      </c>
      <c r="E240" s="223">
        <v>1</v>
      </c>
      <c r="F240" s="190">
        <v>108.01</v>
      </c>
      <c r="G240" s="221">
        <f t="shared" si="59"/>
        <v>135.01</v>
      </c>
      <c r="H240" s="586">
        <f t="shared" si="60"/>
        <v>135.01</v>
      </c>
      <c r="I240" s="376">
        <f t="shared" si="61"/>
        <v>87.76</v>
      </c>
      <c r="J240" s="390">
        <f t="shared" si="62"/>
        <v>47.25</v>
      </c>
      <c r="K240" s="142">
        <f>(J240+I240)</f>
        <v>135.01</v>
      </c>
      <c r="L240" s="35"/>
    </row>
    <row r="241" spans="1:12" s="35" customFormat="1" ht="25.5" x14ac:dyDescent="0.2">
      <c r="A241" s="222" t="s">
        <v>312</v>
      </c>
      <c r="B241" s="250">
        <v>86888</v>
      </c>
      <c r="C241" s="256" t="s">
        <v>147</v>
      </c>
      <c r="D241" s="222" t="s">
        <v>50</v>
      </c>
      <c r="E241" s="223">
        <v>1</v>
      </c>
      <c r="F241" s="190">
        <v>420.89</v>
      </c>
      <c r="G241" s="221">
        <f t="shared" si="59"/>
        <v>526.11</v>
      </c>
      <c r="H241" s="586">
        <f t="shared" si="60"/>
        <v>526.11</v>
      </c>
      <c r="I241" s="376">
        <f t="shared" si="61"/>
        <v>341.97</v>
      </c>
      <c r="J241" s="390">
        <f t="shared" si="62"/>
        <v>184.14</v>
      </c>
      <c r="K241" s="142">
        <f>(J241+I241)</f>
        <v>526.11</v>
      </c>
    </row>
    <row r="242" spans="1:12" s="182" customFormat="1" ht="25.5" x14ac:dyDescent="0.2">
      <c r="A242" s="222" t="s">
        <v>313</v>
      </c>
      <c r="B242" s="250">
        <v>89362</v>
      </c>
      <c r="C242" s="256" t="s">
        <v>143</v>
      </c>
      <c r="D242" s="222" t="s">
        <v>50</v>
      </c>
      <c r="E242" s="223">
        <v>10</v>
      </c>
      <c r="F242" s="190">
        <v>8.51</v>
      </c>
      <c r="G242" s="221">
        <f t="shared" si="59"/>
        <v>10.64</v>
      </c>
      <c r="H242" s="586">
        <f t="shared" si="60"/>
        <v>106.4</v>
      </c>
      <c r="I242" s="376">
        <f t="shared" si="61"/>
        <v>69.16</v>
      </c>
      <c r="J242" s="390">
        <f t="shared" si="62"/>
        <v>37.24</v>
      </c>
      <c r="K242" s="142">
        <f>(J242+I242)</f>
        <v>106.4</v>
      </c>
      <c r="L242" s="35"/>
    </row>
    <row r="243" spans="1:12" s="35" customFormat="1" ht="36.75" customHeight="1" x14ac:dyDescent="0.2">
      <c r="A243" s="222" t="s">
        <v>314</v>
      </c>
      <c r="B243" s="250">
        <v>89395</v>
      </c>
      <c r="C243" s="252" t="s">
        <v>144</v>
      </c>
      <c r="D243" s="222" t="s">
        <v>50</v>
      </c>
      <c r="E243" s="223">
        <v>5</v>
      </c>
      <c r="F243" s="190">
        <v>12.07</v>
      </c>
      <c r="G243" s="221">
        <f t="shared" si="59"/>
        <v>15.09</v>
      </c>
      <c r="H243" s="586">
        <f t="shared" si="60"/>
        <v>75.45</v>
      </c>
      <c r="I243" s="376">
        <f t="shared" si="61"/>
        <v>49.04</v>
      </c>
      <c r="J243" s="390">
        <f t="shared" si="62"/>
        <v>26.41</v>
      </c>
      <c r="K243" s="181">
        <f>(J243+I243)</f>
        <v>75.45</v>
      </c>
    </row>
    <row r="244" spans="1:12" s="35" customFormat="1" ht="24.75" customHeight="1" x14ac:dyDescent="0.2">
      <c r="A244" s="222" t="s">
        <v>315</v>
      </c>
      <c r="B244" s="250">
        <v>89957</v>
      </c>
      <c r="C244" s="256" t="s">
        <v>124</v>
      </c>
      <c r="D244" s="222" t="s">
        <v>50</v>
      </c>
      <c r="E244" s="223">
        <v>8</v>
      </c>
      <c r="F244" s="190">
        <v>134.5</v>
      </c>
      <c r="G244" s="221">
        <f t="shared" si="59"/>
        <v>168.13</v>
      </c>
      <c r="H244" s="586">
        <f t="shared" si="60"/>
        <v>1345.04</v>
      </c>
      <c r="I244" s="376">
        <f t="shared" si="61"/>
        <v>874.28</v>
      </c>
      <c r="J244" s="390">
        <f t="shared" si="62"/>
        <v>470.76</v>
      </c>
      <c r="K244" s="142">
        <f>(J244+I244)</f>
        <v>1345.04</v>
      </c>
    </row>
    <row r="245" spans="1:12" s="35" customFormat="1" ht="38.25" x14ac:dyDescent="0.2">
      <c r="A245" s="222" t="s">
        <v>316</v>
      </c>
      <c r="B245" s="250">
        <v>102611</v>
      </c>
      <c r="C245" s="256" t="s">
        <v>226</v>
      </c>
      <c r="D245" s="222" t="s">
        <v>50</v>
      </c>
      <c r="E245" s="223">
        <v>1</v>
      </c>
      <c r="F245" s="190">
        <v>354.53</v>
      </c>
      <c r="G245" s="221">
        <f t="shared" si="59"/>
        <v>443.16</v>
      </c>
      <c r="H245" s="586">
        <f t="shared" si="60"/>
        <v>443.16</v>
      </c>
      <c r="I245" s="376">
        <f t="shared" si="61"/>
        <v>288.05</v>
      </c>
      <c r="J245" s="390">
        <f t="shared" si="62"/>
        <v>155.11000000000001</v>
      </c>
      <c r="K245" s="142">
        <f>(J245+I245)</f>
        <v>443.16</v>
      </c>
      <c r="L245" s="77"/>
    </row>
    <row r="246" spans="1:12" s="35" customFormat="1" ht="38.25" x14ac:dyDescent="0.2">
      <c r="A246" s="222" t="s">
        <v>317</v>
      </c>
      <c r="B246" s="250">
        <v>89972</v>
      </c>
      <c r="C246" s="256" t="s">
        <v>429</v>
      </c>
      <c r="D246" s="222" t="s">
        <v>50</v>
      </c>
      <c r="E246" s="223">
        <v>2</v>
      </c>
      <c r="F246" s="190">
        <v>59.79</v>
      </c>
      <c r="G246" s="221">
        <f t="shared" si="59"/>
        <v>74.739999999999995</v>
      </c>
      <c r="H246" s="586">
        <f t="shared" si="60"/>
        <v>149.47999999999999</v>
      </c>
      <c r="I246" s="376">
        <f t="shared" si="61"/>
        <v>97.16</v>
      </c>
      <c r="J246" s="390">
        <f t="shared" si="62"/>
        <v>52.32</v>
      </c>
      <c r="K246" s="142">
        <f>(J246+I246)</f>
        <v>149.47999999999999</v>
      </c>
      <c r="L246" s="77"/>
    </row>
    <row r="247" spans="1:12" s="35" customFormat="1" ht="60" customHeight="1" x14ac:dyDescent="0.2">
      <c r="A247" s="222" t="s">
        <v>430</v>
      </c>
      <c r="B247" s="250">
        <v>91785</v>
      </c>
      <c r="C247" s="256" t="s">
        <v>428</v>
      </c>
      <c r="D247" s="222" t="s">
        <v>81</v>
      </c>
      <c r="E247" s="223">
        <v>85.35</v>
      </c>
      <c r="F247" s="190">
        <v>43.28</v>
      </c>
      <c r="G247" s="221">
        <f t="shared" si="59"/>
        <v>54.1</v>
      </c>
      <c r="H247" s="586">
        <f t="shared" si="60"/>
        <v>4617.4399999999996</v>
      </c>
      <c r="I247" s="376">
        <f t="shared" si="61"/>
        <v>3001.34</v>
      </c>
      <c r="J247" s="390">
        <f t="shared" si="62"/>
        <v>1616.1</v>
      </c>
      <c r="K247" s="181">
        <f>(J247+I247)</f>
        <v>4617.4399999999996</v>
      </c>
      <c r="L247" s="77"/>
    </row>
    <row r="248" spans="1:12" s="26" customFormat="1" x14ac:dyDescent="0.2">
      <c r="A248" s="229"/>
      <c r="B248" s="368"/>
      <c r="C248" s="369" t="s">
        <v>362</v>
      </c>
      <c r="D248" s="229"/>
      <c r="E248" s="189"/>
      <c r="F248" s="230"/>
      <c r="G248" s="236"/>
      <c r="H248" s="397">
        <f>H239+H240+H241+H242+H243+H244+H245+H247+H246</f>
        <v>7745.14</v>
      </c>
      <c r="I248" s="418">
        <f>I239+I240+I241+I242+I243+I244+I245+I247+I246</f>
        <v>5034.34</v>
      </c>
      <c r="J248" s="393">
        <f>J239+J240+J241+J242+J243+J244+J245+J247+J246</f>
        <v>2710.8</v>
      </c>
      <c r="K248" s="312">
        <f>(J248+I248)</f>
        <v>7745.14</v>
      </c>
      <c r="L248" s="536"/>
    </row>
    <row r="249" spans="1:12" s="35" customFormat="1" ht="12.75" x14ac:dyDescent="0.2">
      <c r="A249" s="139" t="s">
        <v>403</v>
      </c>
      <c r="B249" s="169"/>
      <c r="C249" s="138" t="s">
        <v>397</v>
      </c>
      <c r="D249" s="607"/>
      <c r="E249" s="607"/>
      <c r="F249" s="607"/>
      <c r="G249" s="607"/>
      <c r="H249" s="607"/>
      <c r="I249" s="454"/>
      <c r="J249" s="489"/>
      <c r="K249" s="142"/>
    </row>
    <row r="250" spans="1:12" s="35" customFormat="1" ht="25.5" x14ac:dyDescent="0.2">
      <c r="A250" s="222" t="s">
        <v>404</v>
      </c>
      <c r="B250" s="250">
        <v>86902</v>
      </c>
      <c r="C250" s="256" t="s">
        <v>148</v>
      </c>
      <c r="D250" s="222" t="s">
        <v>50</v>
      </c>
      <c r="E250" s="223">
        <v>2</v>
      </c>
      <c r="F250" s="190">
        <v>277.64</v>
      </c>
      <c r="G250" s="221">
        <f t="shared" ref="G250:G257" si="63">(F250*$E$9)+F250</f>
        <v>347.05</v>
      </c>
      <c r="H250" s="586">
        <f t="shared" ref="H250:H257" si="64">E250*G250</f>
        <v>694.1</v>
      </c>
      <c r="I250" s="376">
        <f t="shared" ref="I250:I257" si="65">(H250*65%)</f>
        <v>451.17</v>
      </c>
      <c r="J250" s="390">
        <f t="shared" ref="J250:J257" si="66">(H250*35%)</f>
        <v>242.94</v>
      </c>
      <c r="K250" s="142">
        <f>(J250+I250)</f>
        <v>694.11</v>
      </c>
    </row>
    <row r="251" spans="1:12" s="77" customFormat="1" ht="25.5" x14ac:dyDescent="0.2">
      <c r="A251" s="222" t="s">
        <v>405</v>
      </c>
      <c r="B251" s="250">
        <v>86906</v>
      </c>
      <c r="C251" s="256" t="s">
        <v>142</v>
      </c>
      <c r="D251" s="222" t="s">
        <v>50</v>
      </c>
      <c r="E251" s="223">
        <v>2</v>
      </c>
      <c r="F251" s="190">
        <v>108.01</v>
      </c>
      <c r="G251" s="221">
        <f t="shared" si="63"/>
        <v>135.01</v>
      </c>
      <c r="H251" s="586">
        <f t="shared" si="64"/>
        <v>270.02</v>
      </c>
      <c r="I251" s="376">
        <f t="shared" si="65"/>
        <v>175.51</v>
      </c>
      <c r="J251" s="390">
        <f t="shared" si="66"/>
        <v>94.51</v>
      </c>
      <c r="K251" s="142">
        <f>(J251+I251)</f>
        <v>270.02</v>
      </c>
      <c r="L251" s="35"/>
    </row>
    <row r="252" spans="1:12" s="35" customFormat="1" ht="25.5" x14ac:dyDescent="0.2">
      <c r="A252" s="222" t="s">
        <v>406</v>
      </c>
      <c r="B252" s="250">
        <v>86888</v>
      </c>
      <c r="C252" s="256" t="s">
        <v>147</v>
      </c>
      <c r="D252" s="222" t="s">
        <v>50</v>
      </c>
      <c r="E252" s="223">
        <v>2</v>
      </c>
      <c r="F252" s="190">
        <v>420.89</v>
      </c>
      <c r="G252" s="221">
        <f t="shared" si="63"/>
        <v>526.11</v>
      </c>
      <c r="H252" s="586">
        <f t="shared" si="64"/>
        <v>1052.22</v>
      </c>
      <c r="I252" s="376">
        <f t="shared" si="65"/>
        <v>683.94</v>
      </c>
      <c r="J252" s="390">
        <f t="shared" si="66"/>
        <v>368.28</v>
      </c>
      <c r="K252" s="142">
        <f>(J252+I252)</f>
        <v>1052.22</v>
      </c>
    </row>
    <row r="253" spans="1:12" s="182" customFormat="1" ht="25.5" x14ac:dyDescent="0.2">
      <c r="A253" s="222" t="s">
        <v>407</v>
      </c>
      <c r="B253" s="250">
        <v>89362</v>
      </c>
      <c r="C253" s="256" t="s">
        <v>143</v>
      </c>
      <c r="D253" s="222" t="s">
        <v>50</v>
      </c>
      <c r="E253" s="223">
        <v>3</v>
      </c>
      <c r="F253" s="190">
        <v>8.51</v>
      </c>
      <c r="G253" s="221">
        <f t="shared" si="63"/>
        <v>10.64</v>
      </c>
      <c r="H253" s="586">
        <f t="shared" si="64"/>
        <v>31.92</v>
      </c>
      <c r="I253" s="376">
        <f t="shared" si="65"/>
        <v>20.75</v>
      </c>
      <c r="J253" s="390">
        <f t="shared" si="66"/>
        <v>11.17</v>
      </c>
      <c r="K253" s="142">
        <f>(J253+I253)</f>
        <v>31.92</v>
      </c>
      <c r="L253" s="35"/>
    </row>
    <row r="254" spans="1:12" s="35" customFormat="1" ht="36.75" customHeight="1" x14ac:dyDescent="0.2">
      <c r="A254" s="222" t="s">
        <v>408</v>
      </c>
      <c r="B254" s="250">
        <v>89395</v>
      </c>
      <c r="C254" s="252" t="s">
        <v>144</v>
      </c>
      <c r="D254" s="222" t="s">
        <v>50</v>
      </c>
      <c r="E254" s="223">
        <v>3</v>
      </c>
      <c r="F254" s="190">
        <v>12.07</v>
      </c>
      <c r="G254" s="221">
        <f t="shared" si="63"/>
        <v>15.09</v>
      </c>
      <c r="H254" s="586">
        <f t="shared" si="64"/>
        <v>45.27</v>
      </c>
      <c r="I254" s="376">
        <f t="shared" si="65"/>
        <v>29.43</v>
      </c>
      <c r="J254" s="390">
        <f t="shared" si="66"/>
        <v>15.84</v>
      </c>
      <c r="K254" s="181">
        <f>(J254+I254)</f>
        <v>45.27</v>
      </c>
    </row>
    <row r="255" spans="1:12" s="35" customFormat="1" ht="24.75" customHeight="1" x14ac:dyDescent="0.2">
      <c r="A255" s="222" t="s">
        <v>409</v>
      </c>
      <c r="B255" s="250">
        <v>89957</v>
      </c>
      <c r="C255" s="256" t="s">
        <v>124</v>
      </c>
      <c r="D255" s="222" t="s">
        <v>50</v>
      </c>
      <c r="E255" s="223">
        <v>4</v>
      </c>
      <c r="F255" s="190">
        <v>134.5</v>
      </c>
      <c r="G255" s="221">
        <f t="shared" si="63"/>
        <v>168.13</v>
      </c>
      <c r="H255" s="586">
        <f t="shared" si="64"/>
        <v>672.52</v>
      </c>
      <c r="I255" s="376">
        <f t="shared" si="65"/>
        <v>437.14</v>
      </c>
      <c r="J255" s="390">
        <f t="shared" si="66"/>
        <v>235.38</v>
      </c>
      <c r="K255" s="142">
        <f>(J255+I255)</f>
        <v>672.52</v>
      </c>
    </row>
    <row r="256" spans="1:12" s="35" customFormat="1" ht="38.25" x14ac:dyDescent="0.2">
      <c r="A256" s="222" t="s">
        <v>316</v>
      </c>
      <c r="B256" s="250">
        <v>89972</v>
      </c>
      <c r="C256" s="256" t="s">
        <v>429</v>
      </c>
      <c r="D256" s="222" t="s">
        <v>50</v>
      </c>
      <c r="E256" s="223">
        <v>2</v>
      </c>
      <c r="F256" s="190">
        <v>59.79</v>
      </c>
      <c r="G256" s="221">
        <f t="shared" si="63"/>
        <v>74.739999999999995</v>
      </c>
      <c r="H256" s="586">
        <f t="shared" si="64"/>
        <v>149.47999999999999</v>
      </c>
      <c r="I256" s="376">
        <f t="shared" si="65"/>
        <v>97.16</v>
      </c>
      <c r="J256" s="390">
        <f t="shared" si="66"/>
        <v>52.32</v>
      </c>
      <c r="K256" s="142">
        <f>(J256+I256)</f>
        <v>149.47999999999999</v>
      </c>
      <c r="L256" s="77"/>
    </row>
    <row r="257" spans="1:12" s="35" customFormat="1" ht="57.75" customHeight="1" x14ac:dyDescent="0.2">
      <c r="A257" s="222" t="s">
        <v>431</v>
      </c>
      <c r="B257" s="250">
        <v>91785</v>
      </c>
      <c r="C257" s="256" t="s">
        <v>428</v>
      </c>
      <c r="D257" s="222" t="s">
        <v>81</v>
      </c>
      <c r="E257" s="223">
        <v>17.41</v>
      </c>
      <c r="F257" s="190">
        <v>43.28</v>
      </c>
      <c r="G257" s="221">
        <f t="shared" si="63"/>
        <v>54.1</v>
      </c>
      <c r="H257" s="586">
        <f t="shared" si="64"/>
        <v>941.88</v>
      </c>
      <c r="I257" s="376">
        <f t="shared" si="65"/>
        <v>612.22</v>
      </c>
      <c r="J257" s="390">
        <f t="shared" si="66"/>
        <v>329.66</v>
      </c>
      <c r="K257" s="181">
        <f>(J257+I257)</f>
        <v>941.88</v>
      </c>
      <c r="L257" s="77"/>
    </row>
    <row r="258" spans="1:12" s="536" customFormat="1" ht="14.25" customHeight="1" x14ac:dyDescent="0.2">
      <c r="A258" s="330"/>
      <c r="B258" s="329"/>
      <c r="C258" s="351" t="s">
        <v>362</v>
      </c>
      <c r="D258" s="330"/>
      <c r="E258" s="331"/>
      <c r="F258" s="332"/>
      <c r="G258" s="333"/>
      <c r="H258" s="403">
        <f>H250+H251+H252+H253+H254+H255+H257+H256</f>
        <v>3857.41</v>
      </c>
      <c r="I258" s="418">
        <f>I250+I251+I252+I253+I254+I255+I257+I256</f>
        <v>2507.3200000000002</v>
      </c>
      <c r="J258" s="396">
        <f>J250+J251+J252+J253+J254+J255+J257+J256</f>
        <v>1350.1</v>
      </c>
      <c r="K258" s="312">
        <f>(J258+I258)</f>
        <v>3857.42</v>
      </c>
      <c r="L258" s="537"/>
    </row>
    <row r="259" spans="1:12" s="557" customFormat="1" x14ac:dyDescent="0.2">
      <c r="A259" s="679"/>
      <c r="B259" s="680"/>
      <c r="C259" s="681" t="s">
        <v>482</v>
      </c>
      <c r="D259" s="858"/>
      <c r="E259" s="859"/>
      <c r="F259" s="859"/>
      <c r="G259" s="860"/>
      <c r="H259" s="683">
        <f>H248</f>
        <v>7745.14</v>
      </c>
      <c r="I259" s="556">
        <f>I239+I240+I241+I242+I243+I244+I245+I246+I247</f>
        <v>5034.34</v>
      </c>
      <c r="J259" s="660">
        <f>J239+J240+J241+J242+J243+J244+J245+J246+J247</f>
        <v>2710.8</v>
      </c>
      <c r="K259" s="181">
        <f>(J259+I259)</f>
        <v>7745.14</v>
      </c>
      <c r="L259" s="182"/>
    </row>
    <row r="260" spans="1:12" s="571" customFormat="1" ht="14.25" customHeight="1" x14ac:dyDescent="0.2">
      <c r="A260" s="565"/>
      <c r="B260" s="642"/>
      <c r="C260" s="621" t="s">
        <v>447</v>
      </c>
      <c r="D260" s="565"/>
      <c r="E260" s="622"/>
      <c r="F260" s="623"/>
      <c r="G260" s="624"/>
      <c r="H260" s="579">
        <f>H258</f>
        <v>3857.41</v>
      </c>
      <c r="I260" s="580">
        <f>I250+I251+I252+I253+I254+I255+I256+I257</f>
        <v>2507.3200000000002</v>
      </c>
      <c r="J260" s="626">
        <f>J250+J251+J252+J253+J254+J255+J256+J257</f>
        <v>1350.1</v>
      </c>
      <c r="K260" s="570">
        <f>(J260+I260)</f>
        <v>3857.42</v>
      </c>
      <c r="L260" s="638"/>
    </row>
    <row r="261" spans="1:12" s="494" customFormat="1" ht="14.25" customHeight="1" x14ac:dyDescent="0.2">
      <c r="A261" s="490"/>
      <c r="B261" s="495"/>
      <c r="C261" s="543" t="s">
        <v>448</v>
      </c>
      <c r="D261" s="490"/>
      <c r="E261" s="544"/>
      <c r="F261" s="545"/>
      <c r="G261" s="546"/>
      <c r="H261" s="521">
        <f>H259+H260</f>
        <v>11602.55</v>
      </c>
      <c r="I261" s="501">
        <f>I259+I260</f>
        <v>7541.66</v>
      </c>
      <c r="J261" s="499">
        <f>J259+J260</f>
        <v>4060.9</v>
      </c>
      <c r="K261" s="547">
        <f>(J261+I261)</f>
        <v>11602.56</v>
      </c>
      <c r="L261" s="522"/>
    </row>
    <row r="262" spans="1:12" s="35" customFormat="1" ht="12.75" x14ac:dyDescent="0.2">
      <c r="A262" s="139" t="s">
        <v>410</v>
      </c>
      <c r="B262" s="169"/>
      <c r="C262" s="138" t="s">
        <v>483</v>
      </c>
      <c r="D262" s="607"/>
      <c r="E262" s="607"/>
      <c r="F262" s="607"/>
      <c r="G262" s="607"/>
      <c r="H262" s="607"/>
      <c r="I262" s="454"/>
      <c r="J262" s="489"/>
      <c r="K262" s="142"/>
    </row>
    <row r="263" spans="1:12" s="35" customFormat="1" ht="34.5" customHeight="1" x14ac:dyDescent="0.2">
      <c r="A263" s="222" t="s">
        <v>411</v>
      </c>
      <c r="B263" s="250">
        <v>98110</v>
      </c>
      <c r="C263" s="256" t="s">
        <v>345</v>
      </c>
      <c r="D263" s="222" t="s">
        <v>50</v>
      </c>
      <c r="E263" s="223">
        <v>1</v>
      </c>
      <c r="F263" s="190">
        <v>464.47</v>
      </c>
      <c r="G263" s="221">
        <f t="shared" ref="G263" si="67">(F263*$E$9)+F263</f>
        <v>580.59</v>
      </c>
      <c r="H263" s="586">
        <f t="shared" ref="H263" si="68">E263*G263</f>
        <v>580.59</v>
      </c>
      <c r="I263" s="376">
        <f t="shared" ref="I263" si="69">(H263*65%)</f>
        <v>377.38</v>
      </c>
      <c r="J263" s="390">
        <f t="shared" ref="J263" si="70">(H263*35%)</f>
        <v>203.21</v>
      </c>
      <c r="K263" s="181">
        <f>(J263+I263)</f>
        <v>580.59</v>
      </c>
      <c r="L263" s="77"/>
    </row>
    <row r="264" spans="1:12" s="77" customFormat="1" ht="15.75" customHeight="1" x14ac:dyDescent="0.2">
      <c r="A264" s="222" t="s">
        <v>405</v>
      </c>
      <c r="B264" s="250">
        <v>89712</v>
      </c>
      <c r="C264" s="256" t="s">
        <v>160</v>
      </c>
      <c r="D264" s="229" t="s">
        <v>81</v>
      </c>
      <c r="E264" s="189">
        <v>20.8</v>
      </c>
      <c r="F264" s="230">
        <v>30.04</v>
      </c>
      <c r="G264" s="299">
        <f t="shared" ref="G264:G265" si="71">(F264*$E$9)+F264</f>
        <v>37.549999999999997</v>
      </c>
      <c r="H264" s="595">
        <f t="shared" si="60"/>
        <v>781.04</v>
      </c>
      <c r="I264" s="376">
        <f t="shared" si="61"/>
        <v>507.68</v>
      </c>
      <c r="J264" s="390">
        <f t="shared" si="62"/>
        <v>273.36</v>
      </c>
      <c r="K264" s="142">
        <f>(J264+I264)</f>
        <v>781.04</v>
      </c>
      <c r="L264" s="35"/>
    </row>
    <row r="265" spans="1:12" s="77" customFormat="1" ht="19.5" customHeight="1" x14ac:dyDescent="0.2">
      <c r="A265" s="222" t="s">
        <v>406</v>
      </c>
      <c r="B265" s="250">
        <v>89726</v>
      </c>
      <c r="C265" s="256" t="s">
        <v>399</v>
      </c>
      <c r="D265" s="229" t="s">
        <v>50</v>
      </c>
      <c r="E265" s="189">
        <v>1</v>
      </c>
      <c r="F265" s="230">
        <v>7.5</v>
      </c>
      <c r="G265" s="299">
        <f t="shared" si="71"/>
        <v>9.3800000000000008</v>
      </c>
      <c r="H265" s="577">
        <f t="shared" si="60"/>
        <v>9.3800000000000008</v>
      </c>
      <c r="I265" s="376">
        <f t="shared" si="61"/>
        <v>6.1</v>
      </c>
      <c r="J265" s="390">
        <f t="shared" si="62"/>
        <v>3.28</v>
      </c>
      <c r="K265" s="142">
        <f>(J265+I265)</f>
        <v>9.3800000000000008</v>
      </c>
      <c r="L265" s="35"/>
    </row>
    <row r="266" spans="1:12" s="537" customFormat="1" ht="15" customHeight="1" x14ac:dyDescent="0.2">
      <c r="A266" s="330"/>
      <c r="B266" s="329"/>
      <c r="C266" s="351" t="s">
        <v>362</v>
      </c>
      <c r="D266" s="417"/>
      <c r="E266" s="335"/>
      <c r="F266" s="336"/>
      <c r="G266" s="518"/>
      <c r="H266" s="596">
        <f>H263+H264+H265</f>
        <v>1371.01</v>
      </c>
      <c r="I266" s="418">
        <f>I263+I264+I265</f>
        <v>891.16</v>
      </c>
      <c r="J266" s="396">
        <f>J263+J264+J265</f>
        <v>479.85</v>
      </c>
      <c r="K266" s="312">
        <f>(J266+I266)</f>
        <v>1371.01</v>
      </c>
      <c r="L266" s="536"/>
    </row>
    <row r="267" spans="1:12" s="35" customFormat="1" ht="12.75" x14ac:dyDescent="0.2">
      <c r="A267" s="139" t="s">
        <v>412</v>
      </c>
      <c r="B267" s="169"/>
      <c r="C267" s="138" t="s">
        <v>398</v>
      </c>
      <c r="D267" s="606"/>
      <c r="E267" s="606"/>
      <c r="F267" s="606"/>
      <c r="G267" s="606"/>
      <c r="H267" s="606"/>
      <c r="I267" s="454"/>
      <c r="J267" s="489"/>
      <c r="K267" s="142"/>
    </row>
    <row r="268" spans="1:12" s="77" customFormat="1" ht="51" x14ac:dyDescent="0.2">
      <c r="A268" s="222" t="s">
        <v>413</v>
      </c>
      <c r="B268" s="250">
        <v>98052</v>
      </c>
      <c r="C268" s="256" t="s">
        <v>342</v>
      </c>
      <c r="D268" s="222" t="s">
        <v>50</v>
      </c>
      <c r="E268" s="223">
        <v>1</v>
      </c>
      <c r="F268" s="190">
        <v>1900.75</v>
      </c>
      <c r="G268" s="221">
        <f t="shared" ref="G268:G277" si="72">(F268*$E$9)+F268</f>
        <v>2375.94</v>
      </c>
      <c r="H268" s="586">
        <f t="shared" ref="H268:H277" si="73">E268*G268</f>
        <v>2375.94</v>
      </c>
      <c r="I268" s="376">
        <f t="shared" ref="I268:I277" si="74">(H268*65%)</f>
        <v>1544.36</v>
      </c>
      <c r="J268" s="390">
        <f t="shared" ref="J268:J277" si="75">(H268*35%)</f>
        <v>831.58</v>
      </c>
      <c r="K268" s="142">
        <f>(J268+I268)</f>
        <v>2375.94</v>
      </c>
      <c r="L268" s="35"/>
    </row>
    <row r="269" spans="1:12" s="35" customFormat="1" ht="42" customHeight="1" x14ac:dyDescent="0.2">
      <c r="A269" s="222" t="s">
        <v>414</v>
      </c>
      <c r="B269" s="250">
        <v>98058</v>
      </c>
      <c r="C269" s="256" t="s">
        <v>343</v>
      </c>
      <c r="D269" s="222" t="s">
        <v>50</v>
      </c>
      <c r="E269" s="223">
        <v>1</v>
      </c>
      <c r="F269" s="190">
        <v>1636.76</v>
      </c>
      <c r="G269" s="221">
        <f t="shared" si="72"/>
        <v>2045.95</v>
      </c>
      <c r="H269" s="586">
        <f t="shared" si="73"/>
        <v>2045.95</v>
      </c>
      <c r="I269" s="376">
        <f t="shared" si="74"/>
        <v>1329.87</v>
      </c>
      <c r="J269" s="390">
        <f t="shared" si="75"/>
        <v>716.08</v>
      </c>
      <c r="K269" s="142">
        <f>(J269+I269)</f>
        <v>2045.95</v>
      </c>
    </row>
    <row r="270" spans="1:12" s="35" customFormat="1" ht="40.5" customHeight="1" x14ac:dyDescent="0.2">
      <c r="A270" s="222" t="s">
        <v>415</v>
      </c>
      <c r="B270" s="250">
        <v>98111</v>
      </c>
      <c r="C270" s="256" t="s">
        <v>344</v>
      </c>
      <c r="D270" s="222" t="s">
        <v>50</v>
      </c>
      <c r="E270" s="223">
        <v>3</v>
      </c>
      <c r="F270" s="190">
        <v>61.14</v>
      </c>
      <c r="G270" s="221">
        <f t="shared" si="72"/>
        <v>76.430000000000007</v>
      </c>
      <c r="H270" s="586">
        <f t="shared" si="73"/>
        <v>229.29</v>
      </c>
      <c r="I270" s="376">
        <f t="shared" si="74"/>
        <v>149.04</v>
      </c>
      <c r="J270" s="390">
        <f t="shared" si="75"/>
        <v>80.25</v>
      </c>
      <c r="K270" s="142">
        <f>(J270+I270)</f>
        <v>229.29</v>
      </c>
    </row>
    <row r="271" spans="1:12" s="35" customFormat="1" ht="40.5" customHeight="1" x14ac:dyDescent="0.2">
      <c r="A271" s="222" t="s">
        <v>416</v>
      </c>
      <c r="B271" s="250">
        <v>98062</v>
      </c>
      <c r="C271" s="256" t="s">
        <v>341</v>
      </c>
      <c r="D271" s="222" t="s">
        <v>50</v>
      </c>
      <c r="E271" s="223">
        <v>1</v>
      </c>
      <c r="F271" s="190">
        <v>2662.94</v>
      </c>
      <c r="G271" s="221">
        <f t="shared" si="72"/>
        <v>3328.68</v>
      </c>
      <c r="H271" s="586">
        <f t="shared" si="73"/>
        <v>3328.68</v>
      </c>
      <c r="I271" s="376">
        <f t="shared" si="74"/>
        <v>2163.64</v>
      </c>
      <c r="J271" s="390">
        <f t="shared" si="75"/>
        <v>1165.04</v>
      </c>
      <c r="K271" s="142">
        <f>(J271+I271)</f>
        <v>3328.68</v>
      </c>
    </row>
    <row r="272" spans="1:12" s="35" customFormat="1" ht="12.75" x14ac:dyDescent="0.2">
      <c r="A272" s="222" t="s">
        <v>417</v>
      </c>
      <c r="B272" s="250">
        <v>89707</v>
      </c>
      <c r="C272" s="256" t="s">
        <v>156</v>
      </c>
      <c r="D272" s="222" t="s">
        <v>50</v>
      </c>
      <c r="E272" s="223">
        <v>2</v>
      </c>
      <c r="F272" s="190">
        <v>44.15</v>
      </c>
      <c r="G272" s="221">
        <f t="shared" si="72"/>
        <v>55.19</v>
      </c>
      <c r="H272" s="586">
        <f t="shared" si="73"/>
        <v>110.38</v>
      </c>
      <c r="I272" s="376">
        <f t="shared" si="74"/>
        <v>71.75</v>
      </c>
      <c r="J272" s="390">
        <f t="shared" si="75"/>
        <v>38.630000000000003</v>
      </c>
      <c r="K272" s="142">
        <f>(J272+I272)</f>
        <v>110.38</v>
      </c>
    </row>
    <row r="273" spans="1:12" s="35" customFormat="1" ht="12.75" x14ac:dyDescent="0.2">
      <c r="A273" s="222" t="s">
        <v>418</v>
      </c>
      <c r="B273" s="250">
        <v>89798</v>
      </c>
      <c r="C273" s="256" t="s">
        <v>157</v>
      </c>
      <c r="D273" s="222" t="s">
        <v>50</v>
      </c>
      <c r="E273" s="223">
        <v>1</v>
      </c>
      <c r="F273" s="190">
        <v>15.16</v>
      </c>
      <c r="G273" s="221">
        <f t="shared" si="72"/>
        <v>18.95</v>
      </c>
      <c r="H273" s="586">
        <f t="shared" si="73"/>
        <v>18.95</v>
      </c>
      <c r="I273" s="376">
        <f t="shared" si="74"/>
        <v>12.32</v>
      </c>
      <c r="J273" s="390">
        <f t="shared" si="75"/>
        <v>6.63</v>
      </c>
      <c r="K273" s="142">
        <f>(J273+I273)</f>
        <v>18.95</v>
      </c>
    </row>
    <row r="274" spans="1:12" s="35" customFormat="1" ht="12.75" x14ac:dyDescent="0.2">
      <c r="A274" s="222" t="s">
        <v>419</v>
      </c>
      <c r="B274" s="250">
        <v>89714</v>
      </c>
      <c r="C274" s="256" t="s">
        <v>158</v>
      </c>
      <c r="D274" s="222" t="s">
        <v>81</v>
      </c>
      <c r="E274" s="223">
        <v>13.9</v>
      </c>
      <c r="F274" s="190">
        <v>58.27</v>
      </c>
      <c r="G274" s="221">
        <f t="shared" si="72"/>
        <v>72.84</v>
      </c>
      <c r="H274" s="586">
        <f t="shared" si="73"/>
        <v>1012.48</v>
      </c>
      <c r="I274" s="376">
        <f t="shared" si="74"/>
        <v>658.11</v>
      </c>
      <c r="J274" s="390">
        <f t="shared" si="75"/>
        <v>354.37</v>
      </c>
      <c r="K274" s="142">
        <f>(J274+I274)</f>
        <v>1012.48</v>
      </c>
      <c r="L274" s="182"/>
    </row>
    <row r="275" spans="1:12" s="77" customFormat="1" ht="15.75" customHeight="1" x14ac:dyDescent="0.2">
      <c r="A275" s="222" t="s">
        <v>420</v>
      </c>
      <c r="B275" s="250">
        <v>89712</v>
      </c>
      <c r="C275" s="256" t="s">
        <v>160</v>
      </c>
      <c r="D275" s="229" t="s">
        <v>81</v>
      </c>
      <c r="E275" s="189">
        <v>22.53</v>
      </c>
      <c r="F275" s="230">
        <v>30.04</v>
      </c>
      <c r="G275" s="299">
        <f t="shared" si="72"/>
        <v>37.549999999999997</v>
      </c>
      <c r="H275" s="597">
        <f t="shared" si="73"/>
        <v>846</v>
      </c>
      <c r="I275" s="376">
        <f t="shared" si="74"/>
        <v>549.9</v>
      </c>
      <c r="J275" s="390">
        <f t="shared" si="75"/>
        <v>296.10000000000002</v>
      </c>
      <c r="K275" s="142">
        <f>(J275+I275)</f>
        <v>846</v>
      </c>
      <c r="L275" s="35"/>
    </row>
    <row r="276" spans="1:12" s="77" customFormat="1" ht="17.25" customHeight="1" x14ac:dyDescent="0.2">
      <c r="A276" s="222" t="s">
        <v>421</v>
      </c>
      <c r="B276" s="250">
        <v>89731</v>
      </c>
      <c r="C276" s="256" t="s">
        <v>229</v>
      </c>
      <c r="D276" s="229" t="s">
        <v>50</v>
      </c>
      <c r="E276" s="189">
        <v>5</v>
      </c>
      <c r="F276" s="230">
        <v>11.08</v>
      </c>
      <c r="G276" s="299">
        <f t="shared" si="72"/>
        <v>13.85</v>
      </c>
      <c r="H276" s="577">
        <f t="shared" si="73"/>
        <v>69.25</v>
      </c>
      <c r="I276" s="376">
        <f t="shared" si="74"/>
        <v>45.01</v>
      </c>
      <c r="J276" s="390">
        <f t="shared" si="75"/>
        <v>24.24</v>
      </c>
      <c r="K276" s="142">
        <f>(J276+I276)</f>
        <v>69.25</v>
      </c>
      <c r="L276" s="35"/>
    </row>
    <row r="277" spans="1:12" s="77" customFormat="1" ht="12.75" x14ac:dyDescent="0.2">
      <c r="A277" s="222" t="s">
        <v>422</v>
      </c>
      <c r="B277" s="250">
        <v>89569</v>
      </c>
      <c r="C277" s="256" t="s">
        <v>159</v>
      </c>
      <c r="D277" s="229" t="s">
        <v>50</v>
      </c>
      <c r="E277" s="189">
        <v>2</v>
      </c>
      <c r="F277" s="230">
        <v>89.48</v>
      </c>
      <c r="G277" s="186">
        <f t="shared" si="72"/>
        <v>111.85</v>
      </c>
      <c r="H277" s="586">
        <f t="shared" si="73"/>
        <v>223.7</v>
      </c>
      <c r="I277" s="376">
        <f t="shared" si="74"/>
        <v>145.41</v>
      </c>
      <c r="J277" s="390">
        <f t="shared" si="75"/>
        <v>78.3</v>
      </c>
      <c r="K277" s="142">
        <f>(J277+I277)</f>
        <v>223.71</v>
      </c>
      <c r="L277" s="35"/>
    </row>
    <row r="278" spans="1:12" s="537" customFormat="1" ht="12.75" x14ac:dyDescent="0.2">
      <c r="A278" s="548"/>
      <c r="B278" s="250"/>
      <c r="C278" s="374" t="s">
        <v>362</v>
      </c>
      <c r="D278" s="229"/>
      <c r="E278" s="229"/>
      <c r="F278" s="229"/>
      <c r="G278" s="229"/>
      <c r="H278" s="403">
        <f>H268+H269+H270+H271+H272+H273+H274+H275+H276+H277</f>
        <v>10260.620000000001</v>
      </c>
      <c r="I278" s="418">
        <f>(H278*65%)</f>
        <v>6669.4</v>
      </c>
      <c r="J278" s="396">
        <f>(H278*35%)</f>
        <v>3591.22</v>
      </c>
      <c r="K278" s="313">
        <f>(J278+I278)</f>
        <v>10260.620000000001</v>
      </c>
      <c r="L278" s="536"/>
    </row>
    <row r="279" spans="1:12" s="690" customFormat="1" ht="15" customHeight="1" x14ac:dyDescent="0.2">
      <c r="A279" s="532"/>
      <c r="B279" s="677"/>
      <c r="C279" s="684" t="s">
        <v>484</v>
      </c>
      <c r="D279" s="685"/>
      <c r="E279" s="686"/>
      <c r="F279" s="687"/>
      <c r="G279" s="688"/>
      <c r="H279" s="689">
        <f>H266</f>
        <v>1371.01</v>
      </c>
      <c r="I279" s="556">
        <f>I266</f>
        <v>891.16</v>
      </c>
      <c r="J279" s="555">
        <f>J266</f>
        <v>479.85</v>
      </c>
      <c r="K279" s="181">
        <f>(J279+I279)</f>
        <v>1371.01</v>
      </c>
      <c r="L279" s="182"/>
    </row>
    <row r="280" spans="1:12" s="638" customFormat="1" ht="12.75" x14ac:dyDescent="0.2">
      <c r="A280" s="643"/>
      <c r="B280" s="628"/>
      <c r="C280" s="644" t="s">
        <v>449</v>
      </c>
      <c r="D280" s="866"/>
      <c r="E280" s="867"/>
      <c r="F280" s="867"/>
      <c r="G280" s="868"/>
      <c r="H280" s="579">
        <f>H278</f>
        <v>10260.620000000001</v>
      </c>
      <c r="I280" s="580">
        <f>(H280*65%)</f>
        <v>6669.4</v>
      </c>
      <c r="J280" s="626">
        <f>(H280*35%)</f>
        <v>3591.22</v>
      </c>
      <c r="K280" s="641">
        <f>(J280+I280)</f>
        <v>10260.620000000001</v>
      </c>
      <c r="L280" s="571"/>
    </row>
    <row r="281" spans="1:12" s="522" customFormat="1" ht="12.75" x14ac:dyDescent="0.2">
      <c r="A281" s="519"/>
      <c r="B281" s="495"/>
      <c r="C281" s="515" t="s">
        <v>450</v>
      </c>
      <c r="D281" s="863"/>
      <c r="E281" s="864"/>
      <c r="F281" s="864"/>
      <c r="G281" s="865"/>
      <c r="H281" s="521">
        <f>H279+H280</f>
        <v>11631.63</v>
      </c>
      <c r="I281" s="501">
        <f>(H281*65%)</f>
        <v>7560.56</v>
      </c>
      <c r="J281" s="499">
        <f>(H281*35%)</f>
        <v>4071.07</v>
      </c>
      <c r="K281" s="500">
        <f>(J281+I281)</f>
        <v>11631.63</v>
      </c>
      <c r="L281" s="494"/>
    </row>
    <row r="282" spans="1:12" s="36" customFormat="1" ht="12.75" x14ac:dyDescent="0.2">
      <c r="A282" s="436" t="s">
        <v>318</v>
      </c>
      <c r="B282" s="170"/>
      <c r="C282" s="137" t="s">
        <v>88</v>
      </c>
      <c r="D282" s="232"/>
      <c r="E282" s="232"/>
      <c r="F282" s="224"/>
      <c r="G282" s="233"/>
      <c r="H282" s="598"/>
      <c r="I282" s="454"/>
      <c r="J282" s="489"/>
      <c r="K282" s="142"/>
      <c r="L282" s="35"/>
    </row>
    <row r="283" spans="1:12" s="27" customFormat="1" x14ac:dyDescent="0.2">
      <c r="A283" s="779" t="s">
        <v>129</v>
      </c>
      <c r="B283" s="234"/>
      <c r="C283" s="235" t="s">
        <v>485</v>
      </c>
      <c r="D283" s="225"/>
      <c r="E283" s="226"/>
      <c r="F283" s="231"/>
      <c r="G283" s="231"/>
      <c r="H283" s="599"/>
      <c r="I283" s="456"/>
      <c r="J283" s="402"/>
      <c r="K283" s="142"/>
      <c r="L283" s="35"/>
    </row>
    <row r="284" spans="1:12" s="27" customFormat="1" ht="25.5" x14ac:dyDescent="0.2">
      <c r="A284" s="229" t="s">
        <v>319</v>
      </c>
      <c r="B284" s="253">
        <v>100723</v>
      </c>
      <c r="C284" s="254" t="s">
        <v>117</v>
      </c>
      <c r="D284" s="229" t="s">
        <v>76</v>
      </c>
      <c r="E284" s="189">
        <v>26.5</v>
      </c>
      <c r="F284" s="230">
        <v>10.76</v>
      </c>
      <c r="G284" s="299">
        <f>(F284*$E$9)+F284</f>
        <v>13.45</v>
      </c>
      <c r="H284" s="577">
        <f>E284*G284</f>
        <v>356.43</v>
      </c>
      <c r="I284" s="376">
        <f>(H284*65%)</f>
        <v>231.68</v>
      </c>
      <c r="J284" s="390">
        <f>(H284*35%)</f>
        <v>124.75</v>
      </c>
      <c r="K284" s="312">
        <f>(J284+I284)</f>
        <v>356.43</v>
      </c>
      <c r="L284" s="35"/>
    </row>
    <row r="285" spans="1:12" s="27" customFormat="1" ht="25.5" x14ac:dyDescent="0.2">
      <c r="A285" s="229" t="s">
        <v>320</v>
      </c>
      <c r="B285" s="250">
        <v>100745</v>
      </c>
      <c r="C285" s="254" t="s">
        <v>116</v>
      </c>
      <c r="D285" s="229" t="s">
        <v>76</v>
      </c>
      <c r="E285" s="189">
        <v>26.5</v>
      </c>
      <c r="F285" s="230">
        <v>21.19</v>
      </c>
      <c r="G285" s="186">
        <f>(F285*$E$9)+F285</f>
        <v>26.49</v>
      </c>
      <c r="H285" s="593">
        <f>E285*G285</f>
        <v>701.99</v>
      </c>
      <c r="I285" s="376">
        <f>(H285*65%)</f>
        <v>456.29</v>
      </c>
      <c r="J285" s="390">
        <f>(H285*35%)</f>
        <v>245.7</v>
      </c>
      <c r="K285" s="312">
        <f>(J285+I285)</f>
        <v>701.99</v>
      </c>
      <c r="L285" s="182"/>
    </row>
    <row r="286" spans="1:12" s="27" customFormat="1" ht="12.95" customHeight="1" x14ac:dyDescent="0.2">
      <c r="A286" s="229" t="s">
        <v>423</v>
      </c>
      <c r="B286" s="272">
        <v>102230</v>
      </c>
      <c r="C286" s="254" t="s">
        <v>123</v>
      </c>
      <c r="D286" s="229" t="s">
        <v>76</v>
      </c>
      <c r="E286" s="189">
        <v>25.2</v>
      </c>
      <c r="F286" s="230">
        <v>20.57</v>
      </c>
      <c r="G286" s="236">
        <f>(F286*$E$9)+F286</f>
        <v>25.71</v>
      </c>
      <c r="H286" s="576">
        <f>(E286*G286)</f>
        <v>647.89</v>
      </c>
      <c r="I286" s="376">
        <f>(H286*65%)</f>
        <v>421.13</v>
      </c>
      <c r="J286" s="391">
        <f>(H286*35%)</f>
        <v>226.76</v>
      </c>
      <c r="K286" s="312">
        <f>(J286+I286)</f>
        <v>647.89</v>
      </c>
      <c r="L286" s="182"/>
    </row>
    <row r="287" spans="1:12" s="26" customFormat="1" x14ac:dyDescent="0.2">
      <c r="A287" s="229"/>
      <c r="B287" s="368"/>
      <c r="C287" s="369" t="s">
        <v>362</v>
      </c>
      <c r="D287" s="229"/>
      <c r="E287" s="189"/>
      <c r="F287" s="230"/>
      <c r="G287" s="236"/>
      <c r="H287" s="397">
        <f>SUM(H284:H286)</f>
        <v>1706.31</v>
      </c>
      <c r="I287" s="418">
        <f>SUM(I284:I286)</f>
        <v>1109.0999999999999</v>
      </c>
      <c r="J287" s="393">
        <f>SUM(J284:J286)</f>
        <v>597.21</v>
      </c>
      <c r="K287" s="312">
        <f>(J287+I287)</f>
        <v>1706.31</v>
      </c>
      <c r="L287" s="536"/>
    </row>
    <row r="288" spans="1:12" s="27" customFormat="1" x14ac:dyDescent="0.2">
      <c r="A288" s="779" t="s">
        <v>161</v>
      </c>
      <c r="B288" s="234"/>
      <c r="C288" s="235" t="s">
        <v>486</v>
      </c>
      <c r="D288" s="225"/>
      <c r="E288" s="226"/>
      <c r="F288" s="231"/>
      <c r="G288" s="231"/>
      <c r="H288" s="599"/>
      <c r="I288" s="456"/>
      <c r="J288" s="402"/>
      <c r="K288" s="142"/>
      <c r="L288" s="35"/>
    </row>
    <row r="289" spans="1:12" s="27" customFormat="1" ht="25.5" x14ac:dyDescent="0.2">
      <c r="A289" s="229" t="s">
        <v>321</v>
      </c>
      <c r="B289" s="253">
        <v>100723</v>
      </c>
      <c r="C289" s="254" t="s">
        <v>117</v>
      </c>
      <c r="D289" s="229" t="s">
        <v>76</v>
      </c>
      <c r="E289" s="189">
        <v>1.8</v>
      </c>
      <c r="F289" s="230">
        <v>10.76</v>
      </c>
      <c r="G289" s="299">
        <f>(F289*$E$9)+F289</f>
        <v>13.45</v>
      </c>
      <c r="H289" s="577">
        <f>E289*G289</f>
        <v>24.21</v>
      </c>
      <c r="I289" s="376">
        <f>(H289*65%)</f>
        <v>15.74</v>
      </c>
      <c r="J289" s="390">
        <f>(H289*35%)</f>
        <v>8.4700000000000006</v>
      </c>
      <c r="K289" s="312">
        <f>(J289+I289)</f>
        <v>24.21</v>
      </c>
      <c r="L289" s="35"/>
    </row>
    <row r="290" spans="1:12" s="27" customFormat="1" ht="25.5" x14ac:dyDescent="0.2">
      <c r="A290" s="229" t="s">
        <v>322</v>
      </c>
      <c r="B290" s="250">
        <v>100745</v>
      </c>
      <c r="C290" s="254" t="s">
        <v>116</v>
      </c>
      <c r="D290" s="229" t="s">
        <v>76</v>
      </c>
      <c r="E290" s="189">
        <v>1.8</v>
      </c>
      <c r="F290" s="230">
        <v>21.19</v>
      </c>
      <c r="G290" s="186">
        <f>(F290*$E$9)+F290</f>
        <v>26.49</v>
      </c>
      <c r="H290" s="593">
        <f>E290*G290</f>
        <v>47.68</v>
      </c>
      <c r="I290" s="376">
        <f>(H290*65%)</f>
        <v>30.99</v>
      </c>
      <c r="J290" s="390">
        <f>(H290*35%)</f>
        <v>16.690000000000001</v>
      </c>
      <c r="K290" s="312">
        <f>(J290+I290)</f>
        <v>47.68</v>
      </c>
      <c r="L290" s="182"/>
    </row>
    <row r="291" spans="1:12" s="26" customFormat="1" x14ac:dyDescent="0.2">
      <c r="A291" s="229"/>
      <c r="B291" s="368"/>
      <c r="C291" s="369" t="s">
        <v>362</v>
      </c>
      <c r="D291" s="229"/>
      <c r="E291" s="189"/>
      <c r="F291" s="230"/>
      <c r="G291" s="236"/>
      <c r="H291" s="397">
        <f>SUM(H289:H290)</f>
        <v>71.89</v>
      </c>
      <c r="I291" s="418">
        <f>SUM(I289:I290)</f>
        <v>46.73</v>
      </c>
      <c r="J291" s="393">
        <f>SUM(J289:J290)</f>
        <v>25.16</v>
      </c>
      <c r="K291" s="312">
        <f>(J291+I291)</f>
        <v>71.89</v>
      </c>
      <c r="L291" s="536"/>
    </row>
    <row r="292" spans="1:12" s="27" customFormat="1" x14ac:dyDescent="0.2">
      <c r="A292" s="780" t="s">
        <v>162</v>
      </c>
      <c r="B292" s="861" t="s">
        <v>393</v>
      </c>
      <c r="C292" s="862"/>
      <c r="D292" s="225"/>
      <c r="E292" s="226"/>
      <c r="F292" s="231"/>
      <c r="G292" s="231"/>
      <c r="H292" s="599"/>
      <c r="I292" s="456"/>
      <c r="J292" s="402"/>
      <c r="K292" s="142"/>
      <c r="L292" s="77"/>
    </row>
    <row r="293" spans="1:12" s="27" customFormat="1" ht="25.5" x14ac:dyDescent="0.2">
      <c r="A293" s="229" t="s">
        <v>323</v>
      </c>
      <c r="B293" s="253">
        <v>100723</v>
      </c>
      <c r="C293" s="254" t="s">
        <v>117</v>
      </c>
      <c r="D293" s="229" t="s">
        <v>76</v>
      </c>
      <c r="E293" s="189">
        <v>18.399999999999999</v>
      </c>
      <c r="F293" s="230">
        <v>10.76</v>
      </c>
      <c r="G293" s="299">
        <f>(F293*$E$9)+F293</f>
        <v>13.45</v>
      </c>
      <c r="H293" s="577">
        <f>E293*G293</f>
        <v>247.48</v>
      </c>
      <c r="I293" s="376">
        <f>(H293*65%)</f>
        <v>160.86000000000001</v>
      </c>
      <c r="J293" s="390">
        <f>(H293*35%)</f>
        <v>86.62</v>
      </c>
      <c r="K293" s="312">
        <f>(J293+I293)</f>
        <v>247.48</v>
      </c>
      <c r="L293" s="77"/>
    </row>
    <row r="294" spans="1:12" s="27" customFormat="1" ht="25.5" x14ac:dyDescent="0.2">
      <c r="A294" s="229" t="s">
        <v>543</v>
      </c>
      <c r="B294" s="250">
        <v>100745</v>
      </c>
      <c r="C294" s="254" t="s">
        <v>116</v>
      </c>
      <c r="D294" s="229" t="s">
        <v>76</v>
      </c>
      <c r="E294" s="189">
        <v>18.399999999999999</v>
      </c>
      <c r="F294" s="230">
        <v>21.19</v>
      </c>
      <c r="G294" s="186">
        <f>(F294*$E$9)+F294</f>
        <v>26.49</v>
      </c>
      <c r="H294" s="593">
        <f>E294*G294</f>
        <v>487.42</v>
      </c>
      <c r="I294" s="376">
        <f>(H294*65%)</f>
        <v>316.82</v>
      </c>
      <c r="J294" s="390">
        <f>(H294*35%)</f>
        <v>170.6</v>
      </c>
      <c r="K294" s="312">
        <f>(J294+I294)</f>
        <v>487.42</v>
      </c>
      <c r="L294" s="77"/>
    </row>
    <row r="295" spans="1:12" s="27" customFormat="1" ht="12.95" customHeight="1" x14ac:dyDescent="0.2">
      <c r="A295" s="229" t="s">
        <v>544</v>
      </c>
      <c r="B295" s="272">
        <v>102230</v>
      </c>
      <c r="C295" s="254" t="s">
        <v>123</v>
      </c>
      <c r="D295" s="229" t="s">
        <v>76</v>
      </c>
      <c r="E295" s="189">
        <v>6.3</v>
      </c>
      <c r="F295" s="230">
        <v>20.57</v>
      </c>
      <c r="G295" s="236">
        <f>(F295*$E$9)+F295</f>
        <v>25.71</v>
      </c>
      <c r="H295" s="576">
        <f>(E295*G295)</f>
        <v>161.97</v>
      </c>
      <c r="I295" s="376">
        <f>(H295*65%)</f>
        <v>105.28</v>
      </c>
      <c r="J295" s="391">
        <f>(H295*35%)</f>
        <v>56.69</v>
      </c>
      <c r="K295" s="312">
        <f>(J295+I295)</f>
        <v>161.97</v>
      </c>
      <c r="L295" s="77"/>
    </row>
    <row r="296" spans="1:12" s="26" customFormat="1" x14ac:dyDescent="0.2">
      <c r="A296" s="229"/>
      <c r="B296" s="272"/>
      <c r="C296" s="369" t="s">
        <v>362</v>
      </c>
      <c r="D296" s="229"/>
      <c r="E296" s="189"/>
      <c r="F296" s="230"/>
      <c r="G296" s="236"/>
      <c r="H296" s="403">
        <f>SUM(H293:H295)</f>
        <v>896.87</v>
      </c>
      <c r="I296" s="418">
        <f>SUM(I293:I295)</f>
        <v>582.96</v>
      </c>
      <c r="J296" s="393">
        <f>SUM(J293:J295)</f>
        <v>313.91000000000003</v>
      </c>
      <c r="K296" s="312">
        <f>(J296+I296)</f>
        <v>896.87</v>
      </c>
      <c r="L296" s="537"/>
    </row>
    <row r="297" spans="1:12" s="557" customFormat="1" ht="15" customHeight="1" x14ac:dyDescent="0.2">
      <c r="A297" s="679"/>
      <c r="B297" s="691"/>
      <c r="C297" s="681" t="s">
        <v>451</v>
      </c>
      <c r="D297" s="858"/>
      <c r="E297" s="859"/>
      <c r="F297" s="859"/>
      <c r="G297" s="860"/>
      <c r="H297" s="683">
        <f>H287+H291</f>
        <v>1778.2</v>
      </c>
      <c r="I297" s="556">
        <f>I287+I291</f>
        <v>1155.83</v>
      </c>
      <c r="J297" s="660">
        <f>J287+J291</f>
        <v>622.37</v>
      </c>
      <c r="K297" s="181">
        <f>(J297+I297)</f>
        <v>1778.2</v>
      </c>
      <c r="L297" s="182"/>
    </row>
    <row r="298" spans="1:12" s="758" customFormat="1" ht="15" customHeight="1" x14ac:dyDescent="0.2">
      <c r="A298" s="752"/>
      <c r="B298" s="753"/>
      <c r="C298" s="754" t="s">
        <v>487</v>
      </c>
      <c r="D298" s="755"/>
      <c r="E298" s="756"/>
      <c r="F298" s="756"/>
      <c r="G298" s="757"/>
      <c r="H298" s="727">
        <f>H287</f>
        <v>1706.31</v>
      </c>
      <c r="I298" s="709">
        <f>I287</f>
        <v>1109.0999999999999</v>
      </c>
      <c r="J298" s="728">
        <f>J287</f>
        <v>597.21</v>
      </c>
      <c r="K298" s="711">
        <f>(J298+I298)</f>
        <v>1706.31</v>
      </c>
      <c r="L298" s="712"/>
    </row>
    <row r="299" spans="1:12" s="758" customFormat="1" ht="15" customHeight="1" x14ac:dyDescent="0.2">
      <c r="A299" s="752"/>
      <c r="B299" s="753"/>
      <c r="C299" s="754" t="s">
        <v>488</v>
      </c>
      <c r="D299" s="755"/>
      <c r="E299" s="756"/>
      <c r="F299" s="756"/>
      <c r="G299" s="757"/>
      <c r="H299" s="727">
        <f>H291</f>
        <v>71.89</v>
      </c>
      <c r="I299" s="709">
        <f>I291</f>
        <v>46.73</v>
      </c>
      <c r="J299" s="728">
        <f>J291</f>
        <v>25.16</v>
      </c>
      <c r="K299" s="711">
        <f>(J299+I299)</f>
        <v>71.89</v>
      </c>
      <c r="L299" s="712"/>
    </row>
    <row r="300" spans="1:12" s="649" customFormat="1" ht="15" customHeight="1" x14ac:dyDescent="0.2">
      <c r="A300" s="645"/>
      <c r="B300" s="646"/>
      <c r="C300" s="647" t="s">
        <v>452</v>
      </c>
      <c r="D300" s="866"/>
      <c r="E300" s="867"/>
      <c r="F300" s="867"/>
      <c r="G300" s="868"/>
      <c r="H300" s="579">
        <f>H296</f>
        <v>896.87</v>
      </c>
      <c r="I300" s="580">
        <f>I296</f>
        <v>582.96</v>
      </c>
      <c r="J300" s="648">
        <f>J296</f>
        <v>313.91000000000003</v>
      </c>
      <c r="K300" s="570">
        <f>(J300+I300)</f>
        <v>896.87</v>
      </c>
      <c r="L300" s="638"/>
    </row>
    <row r="301" spans="1:12" s="516" customFormat="1" x14ac:dyDescent="0.2">
      <c r="A301" s="520"/>
      <c r="B301" s="550"/>
      <c r="C301" s="551" t="s">
        <v>453</v>
      </c>
      <c r="D301" s="863"/>
      <c r="E301" s="864"/>
      <c r="F301" s="864"/>
      <c r="G301" s="865"/>
      <c r="H301" s="521">
        <f>H297+H300</f>
        <v>2675.07</v>
      </c>
      <c r="I301" s="501">
        <f>I297+I300</f>
        <v>1738.79</v>
      </c>
      <c r="J301" s="603">
        <f>J297+J300</f>
        <v>936.28</v>
      </c>
      <c r="K301" s="547">
        <f>(J301+I301)</f>
        <v>2675.07</v>
      </c>
      <c r="L301" s="522"/>
    </row>
    <row r="302" spans="1:12" x14ac:dyDescent="0.2">
      <c r="A302" s="780" t="s">
        <v>163</v>
      </c>
      <c r="B302" s="861" t="s">
        <v>489</v>
      </c>
      <c r="C302" s="862"/>
      <c r="D302" s="225"/>
      <c r="E302" s="226"/>
      <c r="F302" s="231"/>
      <c r="G302" s="231"/>
      <c r="H302" s="600"/>
      <c r="I302" s="456"/>
      <c r="J302" s="402"/>
      <c r="K302" s="142"/>
      <c r="L302" s="77"/>
    </row>
    <row r="303" spans="1:12" ht="12.95" customHeight="1" x14ac:dyDescent="0.2">
      <c r="A303" s="300" t="s">
        <v>324</v>
      </c>
      <c r="B303" s="292" t="s">
        <v>348</v>
      </c>
      <c r="C303" s="301" t="s">
        <v>349</v>
      </c>
      <c r="D303" s="222" t="s">
        <v>76</v>
      </c>
      <c r="E303" s="223">
        <v>406.68</v>
      </c>
      <c r="F303" s="186">
        <v>14.79</v>
      </c>
      <c r="G303" s="186">
        <f>(F303*$E$9)+F303</f>
        <v>18.489999999999998</v>
      </c>
      <c r="H303" s="576">
        <f>E303*G303</f>
        <v>7519.51</v>
      </c>
      <c r="I303" s="376">
        <f>(H303*65%)</f>
        <v>4887.68</v>
      </c>
      <c r="J303" s="390">
        <f>(H303*35%)</f>
        <v>2631.83</v>
      </c>
      <c r="K303" s="312">
        <f>(J303+I303)</f>
        <v>7519.51</v>
      </c>
      <c r="L303" s="77"/>
    </row>
    <row r="304" spans="1:12" s="31" customFormat="1" x14ac:dyDescent="0.2">
      <c r="A304" s="370"/>
      <c r="B304" s="371"/>
      <c r="C304" s="372" t="s">
        <v>440</v>
      </c>
      <c r="D304" s="222"/>
      <c r="E304" s="223"/>
      <c r="F304" s="186"/>
      <c r="G304" s="186"/>
      <c r="H304" s="403">
        <f>SUM(H303)</f>
        <v>7519.51</v>
      </c>
      <c r="I304" s="418">
        <f>SUM(I303)</f>
        <v>4887.68</v>
      </c>
      <c r="J304" s="396">
        <f>SUM(J303)</f>
        <v>2631.83</v>
      </c>
      <c r="K304" s="312">
        <f>(J304+I304)</f>
        <v>7519.51</v>
      </c>
      <c r="L304" s="306"/>
    </row>
    <row r="305" spans="1:12" x14ac:dyDescent="0.2">
      <c r="A305" s="780" t="s">
        <v>207</v>
      </c>
      <c r="B305" s="861" t="s">
        <v>490</v>
      </c>
      <c r="C305" s="862"/>
      <c r="D305" s="225"/>
      <c r="E305" s="226"/>
      <c r="F305" s="231"/>
      <c r="G305" s="231"/>
      <c r="H305" s="600"/>
      <c r="I305" s="456"/>
      <c r="J305" s="402"/>
      <c r="K305" s="142"/>
      <c r="L305" s="77"/>
    </row>
    <row r="306" spans="1:12" ht="12.95" customHeight="1" x14ac:dyDescent="0.2">
      <c r="A306" s="300" t="s">
        <v>325</v>
      </c>
      <c r="B306" s="292" t="s">
        <v>348</v>
      </c>
      <c r="C306" s="301" t="s">
        <v>349</v>
      </c>
      <c r="D306" s="222" t="s">
        <v>76</v>
      </c>
      <c r="E306" s="223">
        <v>51.82</v>
      </c>
      <c r="F306" s="186">
        <v>14.79</v>
      </c>
      <c r="G306" s="186">
        <f>(F306*$E$9)+F306</f>
        <v>18.489999999999998</v>
      </c>
      <c r="H306" s="576">
        <f>E306*G306</f>
        <v>958.15</v>
      </c>
      <c r="I306" s="376">
        <f>(H306*65%)</f>
        <v>622.79999999999995</v>
      </c>
      <c r="J306" s="390">
        <f>(H306*35%)</f>
        <v>335.35</v>
      </c>
      <c r="K306" s="312">
        <f>(J306+I306)</f>
        <v>958.15</v>
      </c>
      <c r="L306" s="77"/>
    </row>
    <row r="307" spans="1:12" s="31" customFormat="1" x14ac:dyDescent="0.2">
      <c r="A307" s="370"/>
      <c r="B307" s="371"/>
      <c r="C307" s="372" t="s">
        <v>440</v>
      </c>
      <c r="D307" s="222"/>
      <c r="E307" s="223"/>
      <c r="F307" s="186"/>
      <c r="G307" s="186"/>
      <c r="H307" s="403">
        <f>SUM(H306)</f>
        <v>958.15</v>
      </c>
      <c r="I307" s="418">
        <f>SUM(I306)</f>
        <v>622.79999999999995</v>
      </c>
      <c r="J307" s="396">
        <f>SUM(J306)</f>
        <v>335.35</v>
      </c>
      <c r="K307" s="312">
        <f>(J307+I307)</f>
        <v>958.15</v>
      </c>
      <c r="L307" s="306"/>
    </row>
    <row r="308" spans="1:12" x14ac:dyDescent="0.2">
      <c r="A308" s="780" t="s">
        <v>208</v>
      </c>
      <c r="B308" s="861" t="s">
        <v>394</v>
      </c>
      <c r="C308" s="862"/>
      <c r="D308" s="225"/>
      <c r="E308" s="226"/>
      <c r="F308" s="231"/>
      <c r="G308" s="231"/>
      <c r="H308" s="600"/>
      <c r="I308" s="456"/>
      <c r="J308" s="402"/>
      <c r="K308" s="142"/>
      <c r="L308" s="27"/>
    </row>
    <row r="309" spans="1:12" ht="12.95" customHeight="1" x14ac:dyDescent="0.2">
      <c r="A309" s="300" t="s">
        <v>326</v>
      </c>
      <c r="B309" s="292" t="s">
        <v>348</v>
      </c>
      <c r="C309" s="301" t="s">
        <v>349</v>
      </c>
      <c r="D309" s="222" t="s">
        <v>76</v>
      </c>
      <c r="E309" s="223">
        <v>136.03</v>
      </c>
      <c r="F309" s="186">
        <v>14.79</v>
      </c>
      <c r="G309" s="186">
        <f>(F309*$E$9)+F309</f>
        <v>18.489999999999998</v>
      </c>
      <c r="H309" s="576">
        <f>E309*G309</f>
        <v>2515.19</v>
      </c>
      <c r="I309" s="376">
        <f>(H309*65%)</f>
        <v>1634.87</v>
      </c>
      <c r="J309" s="390">
        <f>(H309*35%)</f>
        <v>880.32</v>
      </c>
      <c r="K309" s="312">
        <f>(J309+I309)</f>
        <v>2515.19</v>
      </c>
      <c r="L309" s="27"/>
    </row>
    <row r="310" spans="1:12" s="31" customFormat="1" x14ac:dyDescent="0.2">
      <c r="A310" s="300"/>
      <c r="B310" s="292"/>
      <c r="C310" s="374" t="s">
        <v>362</v>
      </c>
      <c r="D310" s="222"/>
      <c r="E310" s="223"/>
      <c r="F310" s="186"/>
      <c r="G310" s="186"/>
      <c r="H310" s="403">
        <f>SUM(H309)</f>
        <v>2515.19</v>
      </c>
      <c r="I310" s="418">
        <f>SUM(I309)</f>
        <v>1634.87</v>
      </c>
      <c r="J310" s="396">
        <f>SUM(J309)</f>
        <v>880.32</v>
      </c>
      <c r="K310" s="312">
        <f>(J310+I310)</f>
        <v>2515.19</v>
      </c>
      <c r="L310" s="26"/>
    </row>
    <row r="311" spans="1:12" s="558" customFormat="1" x14ac:dyDescent="0.2">
      <c r="A311" s="692"/>
      <c r="B311" s="693"/>
      <c r="C311" s="694" t="s">
        <v>493</v>
      </c>
      <c r="D311" s="902"/>
      <c r="E311" s="903"/>
      <c r="F311" s="903"/>
      <c r="G311" s="904"/>
      <c r="H311" s="578">
        <f>H304+H307</f>
        <v>8477.66</v>
      </c>
      <c r="I311" s="556">
        <f>I304+I307</f>
        <v>5510.48</v>
      </c>
      <c r="J311" s="555">
        <f>J304+J307</f>
        <v>2967.18</v>
      </c>
      <c r="K311" s="181">
        <f>(J311+I311)</f>
        <v>8477.66</v>
      </c>
      <c r="L311" s="675"/>
    </row>
    <row r="312" spans="1:12" s="763" customFormat="1" x14ac:dyDescent="0.2">
      <c r="A312" s="759"/>
      <c r="B312" s="764"/>
      <c r="C312" s="760" t="s">
        <v>491</v>
      </c>
      <c r="D312" s="706"/>
      <c r="E312" s="761"/>
      <c r="F312" s="761"/>
      <c r="G312" s="762"/>
      <c r="H312" s="718">
        <f>H304</f>
        <v>7519.51</v>
      </c>
      <c r="I312" s="709">
        <f>I304</f>
        <v>4887.68</v>
      </c>
      <c r="J312" s="737">
        <f>J304</f>
        <v>2631.83</v>
      </c>
      <c r="K312" s="711">
        <f>(J312+I312)</f>
        <v>7519.51</v>
      </c>
      <c r="L312" s="745"/>
    </row>
    <row r="313" spans="1:12" s="763" customFormat="1" x14ac:dyDescent="0.2">
      <c r="A313" s="759"/>
      <c r="B313" s="764"/>
      <c r="C313" s="760" t="s">
        <v>492</v>
      </c>
      <c r="D313" s="706"/>
      <c r="E313" s="761"/>
      <c r="F313" s="761"/>
      <c r="G313" s="762"/>
      <c r="H313" s="718">
        <f>H307</f>
        <v>958.15</v>
      </c>
      <c r="I313" s="709">
        <f>I307</f>
        <v>622.79999999999995</v>
      </c>
      <c r="J313" s="737">
        <f>J307</f>
        <v>335.35</v>
      </c>
      <c r="K313" s="711">
        <f>(J313+I313)</f>
        <v>958.15</v>
      </c>
      <c r="L313" s="745"/>
    </row>
    <row r="314" spans="1:12" s="652" customFormat="1" x14ac:dyDescent="0.2">
      <c r="A314" s="650"/>
      <c r="B314" s="651"/>
      <c r="C314" s="644" t="s">
        <v>454</v>
      </c>
      <c r="D314" s="872"/>
      <c r="E314" s="873"/>
      <c r="F314" s="873"/>
      <c r="G314" s="874"/>
      <c r="H314" s="579">
        <f>H310</f>
        <v>2515.19</v>
      </c>
      <c r="I314" s="580">
        <f>I310</f>
        <v>1634.87</v>
      </c>
      <c r="J314" s="626">
        <f>J310</f>
        <v>880.32</v>
      </c>
      <c r="K314" s="570">
        <f>(J314+I314)</f>
        <v>2515.19</v>
      </c>
      <c r="L314" s="649"/>
    </row>
    <row r="315" spans="1:12" s="517" customFormat="1" x14ac:dyDescent="0.2">
      <c r="A315" s="559"/>
      <c r="B315" s="560"/>
      <c r="C315" s="512" t="s">
        <v>455</v>
      </c>
      <c r="D315" s="869"/>
      <c r="E315" s="870"/>
      <c r="F315" s="870"/>
      <c r="G315" s="871"/>
      <c r="H315" s="521">
        <f>H311+H314</f>
        <v>10992.85</v>
      </c>
      <c r="I315" s="501">
        <f>I311+I314</f>
        <v>7145.35</v>
      </c>
      <c r="J315" s="499">
        <f>J311+J314</f>
        <v>3847.5</v>
      </c>
      <c r="K315" s="547">
        <f>(J315+I315)</f>
        <v>10992.85</v>
      </c>
      <c r="L315" s="516"/>
    </row>
    <row r="316" spans="1:12" x14ac:dyDescent="0.2">
      <c r="A316" s="779" t="s">
        <v>545</v>
      </c>
      <c r="B316" s="234"/>
      <c r="C316" s="235" t="s">
        <v>494</v>
      </c>
      <c r="D316" s="225"/>
      <c r="E316" s="226"/>
      <c r="F316" s="231"/>
      <c r="G316" s="231"/>
      <c r="H316" s="600"/>
      <c r="I316" s="456"/>
      <c r="J316" s="402"/>
      <c r="K316" s="142"/>
      <c r="L316" s="27"/>
    </row>
    <row r="317" spans="1:12" ht="25.5" x14ac:dyDescent="0.2">
      <c r="A317" s="300" t="s">
        <v>546</v>
      </c>
      <c r="B317" s="292" t="s">
        <v>348</v>
      </c>
      <c r="C317" s="301" t="s">
        <v>349</v>
      </c>
      <c r="D317" s="222" t="s">
        <v>76</v>
      </c>
      <c r="E317" s="223">
        <v>415.61</v>
      </c>
      <c r="F317" s="186">
        <v>14.79</v>
      </c>
      <c r="G317" s="186">
        <f>(F317*$E$9)+F317</f>
        <v>18.489999999999998</v>
      </c>
      <c r="H317" s="576">
        <f>E317*G317</f>
        <v>7684.63</v>
      </c>
      <c r="I317" s="376">
        <f>(H317*65%)</f>
        <v>4995.01</v>
      </c>
      <c r="J317" s="390">
        <f>(H317*35%)</f>
        <v>2689.62</v>
      </c>
      <c r="K317" s="312">
        <f>(J317+I317)</f>
        <v>7684.63</v>
      </c>
      <c r="L317" s="27"/>
    </row>
    <row r="318" spans="1:12" ht="12.95" customHeight="1" x14ac:dyDescent="0.2">
      <c r="A318" s="300" t="s">
        <v>547</v>
      </c>
      <c r="B318" s="292" t="s">
        <v>187</v>
      </c>
      <c r="C318" s="301" t="s">
        <v>188</v>
      </c>
      <c r="D318" s="222" t="s">
        <v>76</v>
      </c>
      <c r="E318" s="223">
        <v>415.61</v>
      </c>
      <c r="F318" s="186">
        <v>11.86</v>
      </c>
      <c r="G318" s="186">
        <f>(F318*$E$9)+F318</f>
        <v>14.83</v>
      </c>
      <c r="H318" s="576">
        <f>E318*G318</f>
        <v>6163.5</v>
      </c>
      <c r="I318" s="376">
        <f>(H318*65%)</f>
        <v>4006.28</v>
      </c>
      <c r="J318" s="390">
        <f>(H318*35%)</f>
        <v>2157.23</v>
      </c>
      <c r="K318" s="312">
        <f>(J318+I318)</f>
        <v>6163.51</v>
      </c>
      <c r="L318" s="27"/>
    </row>
    <row r="319" spans="1:12" s="31" customFormat="1" x14ac:dyDescent="0.2">
      <c r="A319" s="300"/>
      <c r="B319" s="373"/>
      <c r="C319" s="372" t="s">
        <v>362</v>
      </c>
      <c r="D319" s="222"/>
      <c r="E319" s="223"/>
      <c r="F319" s="186"/>
      <c r="G319" s="186"/>
      <c r="H319" s="403">
        <f>SUM(H317:H318)</f>
        <v>13848.13</v>
      </c>
      <c r="I319" s="418">
        <f>SUM(I317:I318)</f>
        <v>9001.2900000000009</v>
      </c>
      <c r="J319" s="396">
        <f>SUM(J317:J318)</f>
        <v>4846.8500000000004</v>
      </c>
      <c r="K319" s="312">
        <f>(J319+I319)</f>
        <v>13848.14</v>
      </c>
      <c r="L319" s="26"/>
    </row>
    <row r="320" spans="1:12" x14ac:dyDescent="0.2">
      <c r="A320" s="779" t="s">
        <v>548</v>
      </c>
      <c r="B320" s="234"/>
      <c r="C320" s="235" t="s">
        <v>395</v>
      </c>
      <c r="D320" s="225"/>
      <c r="E320" s="226"/>
      <c r="F320" s="231"/>
      <c r="G320" s="231"/>
      <c r="H320" s="600"/>
      <c r="I320" s="456"/>
      <c r="J320" s="402"/>
      <c r="K320" s="142"/>
      <c r="L320" s="27"/>
    </row>
    <row r="321" spans="1:12" ht="25.5" x14ac:dyDescent="0.2">
      <c r="A321" s="300" t="s">
        <v>549</v>
      </c>
      <c r="B321" s="292" t="s">
        <v>348</v>
      </c>
      <c r="C321" s="301" t="s">
        <v>349</v>
      </c>
      <c r="D321" s="222" t="s">
        <v>76</v>
      </c>
      <c r="E321" s="223">
        <v>177.84</v>
      </c>
      <c r="F321" s="186">
        <v>14.79</v>
      </c>
      <c r="G321" s="186">
        <f>(F321*$E$9)+F321</f>
        <v>18.489999999999998</v>
      </c>
      <c r="H321" s="576">
        <f>E321*G321</f>
        <v>3288.26</v>
      </c>
      <c r="I321" s="376">
        <f>(H321*65%)</f>
        <v>2137.37</v>
      </c>
      <c r="J321" s="390">
        <f>(H321*35%)</f>
        <v>1150.8900000000001</v>
      </c>
      <c r="K321" s="312">
        <f>(J321+I321)</f>
        <v>3288.26</v>
      </c>
      <c r="L321" s="27"/>
    </row>
    <row r="322" spans="1:12" ht="12.95" customHeight="1" x14ac:dyDescent="0.2">
      <c r="A322" s="300" t="s">
        <v>550</v>
      </c>
      <c r="B322" s="292" t="s">
        <v>187</v>
      </c>
      <c r="C322" s="301" t="s">
        <v>188</v>
      </c>
      <c r="D322" s="222" t="s">
        <v>76</v>
      </c>
      <c r="E322" s="223">
        <v>177.84</v>
      </c>
      <c r="F322" s="186">
        <v>11.86</v>
      </c>
      <c r="G322" s="186">
        <f>(F322*$E$9)+F322</f>
        <v>14.83</v>
      </c>
      <c r="H322" s="576">
        <f>E322*G322</f>
        <v>2637.37</v>
      </c>
      <c r="I322" s="376">
        <f>(H322*65%)</f>
        <v>1714.29</v>
      </c>
      <c r="J322" s="390">
        <f>(H322*35%)</f>
        <v>923.08</v>
      </c>
      <c r="K322" s="312">
        <f>(J322+I322)</f>
        <v>2637.37</v>
      </c>
      <c r="L322" s="27"/>
    </row>
    <row r="323" spans="1:12" s="31" customFormat="1" x14ac:dyDescent="0.2">
      <c r="A323" s="300"/>
      <c r="B323" s="292"/>
      <c r="C323" s="374" t="s">
        <v>362</v>
      </c>
      <c r="D323" s="222"/>
      <c r="E323" s="223"/>
      <c r="F323" s="186"/>
      <c r="G323" s="186"/>
      <c r="H323" s="401">
        <f>SUM(H321:H322)</f>
        <v>5925.63</v>
      </c>
      <c r="I323" s="418">
        <f>SUM(I321:I322)</f>
        <v>3851.66</v>
      </c>
      <c r="J323" s="396">
        <f>SUM(J321:J322)</f>
        <v>2073.9699999999998</v>
      </c>
      <c r="K323" s="312">
        <f>(J323+I323)</f>
        <v>5925.63</v>
      </c>
      <c r="L323" s="26"/>
    </row>
    <row r="324" spans="1:12" s="558" customFormat="1" x14ac:dyDescent="0.2">
      <c r="A324" s="552"/>
      <c r="B324" s="679"/>
      <c r="C324" s="553" t="s">
        <v>495</v>
      </c>
      <c r="D324" s="902"/>
      <c r="E324" s="903"/>
      <c r="F324" s="903"/>
      <c r="G324" s="904"/>
      <c r="H324" s="695">
        <f>H319</f>
        <v>13848.13</v>
      </c>
      <c r="I324" s="556">
        <f>H324*65%</f>
        <v>9001.2800000000007</v>
      </c>
      <c r="J324" s="555">
        <f>H324*35%</f>
        <v>4846.8500000000004</v>
      </c>
      <c r="K324" s="564">
        <f>(J324+I324)</f>
        <v>13848.13</v>
      </c>
      <c r="L324" s="557"/>
    </row>
    <row r="325" spans="1:12" s="652" customFormat="1" x14ac:dyDescent="0.2">
      <c r="A325" s="650"/>
      <c r="B325" s="645"/>
      <c r="C325" s="653" t="s">
        <v>456</v>
      </c>
      <c r="D325" s="872"/>
      <c r="E325" s="873"/>
      <c r="F325" s="873"/>
      <c r="G325" s="874"/>
      <c r="H325" s="630">
        <f>H323</f>
        <v>5925.63</v>
      </c>
      <c r="I325" s="580">
        <f>H325*65%</f>
        <v>3851.66</v>
      </c>
      <c r="J325" s="626">
        <f>H325*35%</f>
        <v>2073.9699999999998</v>
      </c>
      <c r="K325" s="641">
        <f>(J325+I325)</f>
        <v>5925.63</v>
      </c>
      <c r="L325" s="649"/>
    </row>
    <row r="326" spans="1:12" s="517" customFormat="1" x14ac:dyDescent="0.2">
      <c r="A326" s="513"/>
      <c r="B326" s="514"/>
      <c r="C326" s="515" t="s">
        <v>396</v>
      </c>
      <c r="D326" s="869"/>
      <c r="E326" s="870"/>
      <c r="F326" s="870"/>
      <c r="G326" s="871"/>
      <c r="H326" s="601">
        <f>H324+H325</f>
        <v>19773.759999999998</v>
      </c>
      <c r="I326" s="501">
        <f>I324+I325</f>
        <v>12852.94</v>
      </c>
      <c r="J326" s="499">
        <f>J324+J325</f>
        <v>6920.82</v>
      </c>
      <c r="K326" s="500">
        <f>(J326+I326)</f>
        <v>19773.759999999998</v>
      </c>
      <c r="L326" s="516"/>
    </row>
    <row r="327" spans="1:12" x14ac:dyDescent="0.2">
      <c r="A327" s="437" t="s">
        <v>209</v>
      </c>
      <c r="B327" s="309"/>
      <c r="C327" s="310" t="s">
        <v>498</v>
      </c>
      <c r="D327" s="225"/>
      <c r="E327" s="226"/>
      <c r="F327" s="231"/>
      <c r="G327" s="231"/>
      <c r="H327" s="590"/>
      <c r="I327" s="456"/>
      <c r="J327" s="402"/>
      <c r="K327" s="312"/>
    </row>
    <row r="328" spans="1:12" x14ac:dyDescent="0.2">
      <c r="A328" s="229" t="s">
        <v>551</v>
      </c>
      <c r="B328" s="253">
        <v>101988</v>
      </c>
      <c r="C328" s="254" t="s">
        <v>164</v>
      </c>
      <c r="D328" s="241" t="s">
        <v>76</v>
      </c>
      <c r="E328" s="296">
        <v>5</v>
      </c>
      <c r="F328" s="302">
        <v>248.71</v>
      </c>
      <c r="G328" s="302">
        <f>(F328*$E$9)+F328</f>
        <v>310.89</v>
      </c>
      <c r="H328" s="602">
        <f>E328*G328</f>
        <v>1554.45</v>
      </c>
      <c r="I328" s="376">
        <f>(H328*65%)</f>
        <v>1010.39</v>
      </c>
      <c r="J328" s="390">
        <f>(H328*35%)</f>
        <v>544.05999999999995</v>
      </c>
      <c r="K328" s="312">
        <f>(J328+I328)</f>
        <v>1554.45</v>
      </c>
    </row>
    <row r="329" spans="1:12" ht="25.5" x14ac:dyDescent="0.2">
      <c r="A329" s="229" t="s">
        <v>552</v>
      </c>
      <c r="B329" s="253">
        <v>99855</v>
      </c>
      <c r="C329" s="254" t="s">
        <v>351</v>
      </c>
      <c r="D329" s="241" t="s">
        <v>81</v>
      </c>
      <c r="E329" s="296">
        <v>10.1</v>
      </c>
      <c r="F329" s="302">
        <v>117.16</v>
      </c>
      <c r="G329" s="302">
        <f>(F329*$E$9)+F329</f>
        <v>146.44999999999999</v>
      </c>
      <c r="H329" s="602">
        <f>E329*G329</f>
        <v>1479.15</v>
      </c>
      <c r="I329" s="376">
        <f>(H329*65%)</f>
        <v>961.45</v>
      </c>
      <c r="J329" s="390">
        <f>(H329*35%)</f>
        <v>517.70000000000005</v>
      </c>
      <c r="K329" s="312">
        <f>(J329+I329)</f>
        <v>1479.15</v>
      </c>
    </row>
    <row r="330" spans="1:12" x14ac:dyDescent="0.2">
      <c r="A330" s="229"/>
      <c r="B330" s="253"/>
      <c r="C330" s="766" t="s">
        <v>496</v>
      </c>
      <c r="D330" s="852"/>
      <c r="E330" s="853"/>
      <c r="F330" s="853"/>
      <c r="G330" s="854"/>
      <c r="H330" s="767">
        <f>H328+H329</f>
        <v>3033.6</v>
      </c>
      <c r="I330" s="453">
        <f>I328+I329</f>
        <v>1971.84</v>
      </c>
      <c r="J330" s="418">
        <f>J328+J329</f>
        <v>1061.76</v>
      </c>
      <c r="K330" s="312">
        <f>(J330+I330)</f>
        <v>3033.6</v>
      </c>
    </row>
    <row r="331" spans="1:12" s="558" customFormat="1" x14ac:dyDescent="0.2">
      <c r="A331" s="679"/>
      <c r="B331" s="679"/>
      <c r="C331" s="553" t="s">
        <v>497</v>
      </c>
      <c r="D331" s="696"/>
      <c r="E331" s="697"/>
      <c r="F331" s="698"/>
      <c r="G331" s="698"/>
      <c r="H331" s="699">
        <f>H328+H329</f>
        <v>3033.6</v>
      </c>
      <c r="I331" s="700">
        <f>(H331*65%)</f>
        <v>1971.84</v>
      </c>
      <c r="J331" s="556">
        <f>(H331*35%)</f>
        <v>1061.76</v>
      </c>
      <c r="K331" s="564">
        <f>(J331+I331)</f>
        <v>3033.6</v>
      </c>
      <c r="L331" s="557"/>
    </row>
    <row r="332" spans="1:12" x14ac:dyDescent="0.2">
      <c r="A332" s="437" t="s">
        <v>353</v>
      </c>
      <c r="B332" s="309"/>
      <c r="C332" s="310" t="s">
        <v>499</v>
      </c>
      <c r="D332" s="225"/>
      <c r="E332" s="226"/>
      <c r="F332" s="231"/>
      <c r="G332" s="231"/>
      <c r="H332" s="590"/>
      <c r="I332" s="456"/>
      <c r="J332" s="402"/>
      <c r="K332" s="312"/>
    </row>
    <row r="333" spans="1:12" ht="51" x14ac:dyDescent="0.2">
      <c r="A333" s="229" t="s">
        <v>553</v>
      </c>
      <c r="B333" s="253">
        <v>99839</v>
      </c>
      <c r="C333" s="254" t="s">
        <v>359</v>
      </c>
      <c r="D333" s="222" t="s">
        <v>81</v>
      </c>
      <c r="E333" s="303">
        <v>42.45</v>
      </c>
      <c r="F333" s="304">
        <v>497.64</v>
      </c>
      <c r="G333" s="304">
        <f>(F333*$E$9)+F333</f>
        <v>622.04999999999995</v>
      </c>
      <c r="H333" s="576">
        <f>E333*G333</f>
        <v>26406.02</v>
      </c>
      <c r="I333" s="376">
        <f>(H333*65%)</f>
        <v>17163.91</v>
      </c>
      <c r="J333" s="390">
        <f>(H333*35%)</f>
        <v>9242.11</v>
      </c>
      <c r="K333" s="312">
        <f>(J333+I333)</f>
        <v>26406.02</v>
      </c>
    </row>
    <row r="334" spans="1:12" s="652" customFormat="1" x14ac:dyDescent="0.2">
      <c r="A334" s="645"/>
      <c r="B334" s="645"/>
      <c r="C334" s="644" t="s">
        <v>500</v>
      </c>
      <c r="D334" s="768"/>
      <c r="E334" s="769"/>
      <c r="F334" s="770"/>
      <c r="G334" s="770"/>
      <c r="H334" s="771">
        <f>H333</f>
        <v>26406.02</v>
      </c>
      <c r="I334" s="618">
        <f>(H334*65%)</f>
        <v>17163.91</v>
      </c>
      <c r="J334" s="772">
        <f>(H334*35%)</f>
        <v>9242.11</v>
      </c>
      <c r="K334" s="641">
        <f>(J334+I334)</f>
        <v>26406.02</v>
      </c>
      <c r="L334" s="649"/>
    </row>
    <row r="335" spans="1:12" x14ac:dyDescent="0.2">
      <c r="A335" s="437" t="s">
        <v>424</v>
      </c>
      <c r="B335" s="309"/>
      <c r="C335" s="310" t="s">
        <v>505</v>
      </c>
      <c r="D335" s="604"/>
      <c r="E335" s="604"/>
      <c r="F335" s="604"/>
      <c r="G335" s="604"/>
      <c r="H335" s="604"/>
      <c r="I335" s="604"/>
      <c r="J335" s="604"/>
      <c r="K335" s="312"/>
    </row>
    <row r="336" spans="1:12" ht="38.25" x14ac:dyDescent="0.2">
      <c r="A336" s="229" t="s">
        <v>425</v>
      </c>
      <c r="B336" s="253">
        <v>92775</v>
      </c>
      <c r="C336" s="254" t="s">
        <v>506</v>
      </c>
      <c r="D336" s="241" t="s">
        <v>113</v>
      </c>
      <c r="E336" s="296">
        <v>12.93</v>
      </c>
      <c r="F336" s="302">
        <v>17.91</v>
      </c>
      <c r="G336" s="302">
        <f>(F336*$E$9)+F336</f>
        <v>22.39</v>
      </c>
      <c r="H336" s="375">
        <f>E336*G336</f>
        <v>289.5</v>
      </c>
      <c r="I336" s="376">
        <f>(H336*65%)</f>
        <v>188.18</v>
      </c>
      <c r="J336" s="376">
        <f>(H336*35%)</f>
        <v>101.33</v>
      </c>
      <c r="K336" s="312">
        <f>(J336+I336)</f>
        <v>289.51</v>
      </c>
    </row>
    <row r="337" spans="1:12" ht="38.25" x14ac:dyDescent="0.2">
      <c r="A337" s="229" t="s">
        <v>554</v>
      </c>
      <c r="B337" s="253">
        <v>92776</v>
      </c>
      <c r="C337" s="254" t="s">
        <v>507</v>
      </c>
      <c r="D337" s="241" t="s">
        <v>113</v>
      </c>
      <c r="E337" s="296">
        <v>2058</v>
      </c>
      <c r="F337" s="302">
        <v>16.7</v>
      </c>
      <c r="G337" s="302">
        <v>20.88</v>
      </c>
      <c r="H337" s="773">
        <v>429.71</v>
      </c>
      <c r="I337" s="376">
        <v>279.31</v>
      </c>
      <c r="J337" s="376">
        <v>150.4</v>
      </c>
      <c r="K337" s="312">
        <f>(J337+I337)</f>
        <v>429.71</v>
      </c>
    </row>
    <row r="338" spans="1:12" ht="25.5" x14ac:dyDescent="0.2">
      <c r="A338" s="229" t="s">
        <v>555</v>
      </c>
      <c r="B338" s="253">
        <v>10931</v>
      </c>
      <c r="C338" s="254" t="s">
        <v>508</v>
      </c>
      <c r="D338" s="241" t="s">
        <v>76</v>
      </c>
      <c r="E338" s="296">
        <v>147</v>
      </c>
      <c r="F338" s="302">
        <v>10.17</v>
      </c>
      <c r="G338" s="302">
        <v>12.71</v>
      </c>
      <c r="H338" s="773">
        <v>1868.37</v>
      </c>
      <c r="I338" s="376">
        <v>1214.44</v>
      </c>
      <c r="J338" s="376">
        <v>653.92999999999995</v>
      </c>
      <c r="K338" s="312">
        <f>(J338+I338)</f>
        <v>1868.37</v>
      </c>
    </row>
    <row r="339" spans="1:12" ht="25.5" x14ac:dyDescent="0.2">
      <c r="A339" s="229" t="s">
        <v>556</v>
      </c>
      <c r="B339" s="253">
        <v>94964</v>
      </c>
      <c r="C339" s="254" t="s">
        <v>509</v>
      </c>
      <c r="D339" s="241" t="s">
        <v>82</v>
      </c>
      <c r="E339" s="296">
        <v>2</v>
      </c>
      <c r="F339" s="302">
        <v>399.44</v>
      </c>
      <c r="G339" s="302">
        <v>499.3</v>
      </c>
      <c r="H339" s="773">
        <v>998.6</v>
      </c>
      <c r="I339" s="376">
        <v>649.09</v>
      </c>
      <c r="J339" s="376">
        <v>349.51</v>
      </c>
      <c r="K339" s="312">
        <f>(J339+I339)</f>
        <v>998.6</v>
      </c>
    </row>
    <row r="340" spans="1:12" s="244" customFormat="1" ht="33.75" customHeight="1" x14ac:dyDescent="0.2">
      <c r="A340" s="222" t="s">
        <v>557</v>
      </c>
      <c r="B340" s="264">
        <v>103335</v>
      </c>
      <c r="C340" s="259" t="s">
        <v>426</v>
      </c>
      <c r="D340" s="183" t="s">
        <v>76</v>
      </c>
      <c r="E340" s="184">
        <v>3.3</v>
      </c>
      <c r="F340" s="185">
        <v>130.43</v>
      </c>
      <c r="G340" s="186">
        <f t="shared" ref="G340:G342" si="76">(F340*$E$9)+F340</f>
        <v>163.04</v>
      </c>
      <c r="H340" s="576">
        <f t="shared" ref="H340:H342" si="77">E340*G340</f>
        <v>538.03</v>
      </c>
      <c r="I340" s="376">
        <f t="shared" ref="I340:I342" si="78">(H340*65%)</f>
        <v>349.72</v>
      </c>
      <c r="J340" s="390">
        <f t="shared" ref="J340:J342" si="79">(H340*35%)</f>
        <v>188.31</v>
      </c>
      <c r="K340" s="312">
        <f>(J340+I340)</f>
        <v>538.03</v>
      </c>
    </row>
    <row r="341" spans="1:12" s="35" customFormat="1" ht="38.25" customHeight="1" x14ac:dyDescent="0.2">
      <c r="A341" s="222" t="s">
        <v>558</v>
      </c>
      <c r="B341" s="265">
        <v>87879</v>
      </c>
      <c r="C341" s="259" t="s">
        <v>184</v>
      </c>
      <c r="D341" s="183" t="s">
        <v>76</v>
      </c>
      <c r="E341" s="184">
        <v>3.96</v>
      </c>
      <c r="F341" s="185">
        <v>3.66</v>
      </c>
      <c r="G341" s="186">
        <f t="shared" si="76"/>
        <v>4.58</v>
      </c>
      <c r="H341" s="576">
        <f t="shared" si="77"/>
        <v>18.14</v>
      </c>
      <c r="I341" s="376">
        <f t="shared" si="78"/>
        <v>11.79</v>
      </c>
      <c r="J341" s="390">
        <f t="shared" si="79"/>
        <v>6.35</v>
      </c>
      <c r="K341" s="312">
        <f>(J341+I341)</f>
        <v>18.14</v>
      </c>
    </row>
    <row r="342" spans="1:12" s="35" customFormat="1" ht="52.5" customHeight="1" x14ac:dyDescent="0.2">
      <c r="A342" s="222" t="s">
        <v>559</v>
      </c>
      <c r="B342" s="265">
        <v>87777</v>
      </c>
      <c r="C342" s="259" t="s">
        <v>185</v>
      </c>
      <c r="D342" s="266" t="s">
        <v>76</v>
      </c>
      <c r="E342" s="267">
        <v>7.92</v>
      </c>
      <c r="F342" s="268">
        <v>53.3</v>
      </c>
      <c r="G342" s="258">
        <f t="shared" si="76"/>
        <v>66.63</v>
      </c>
      <c r="H342" s="583">
        <f t="shared" si="77"/>
        <v>527.71</v>
      </c>
      <c r="I342" s="376">
        <f t="shared" si="78"/>
        <v>343.01</v>
      </c>
      <c r="J342" s="390">
        <f t="shared" si="79"/>
        <v>184.7</v>
      </c>
      <c r="K342" s="312">
        <f>(J342+I342)</f>
        <v>527.71</v>
      </c>
    </row>
    <row r="343" spans="1:12" ht="28.5" customHeight="1" x14ac:dyDescent="0.2">
      <c r="A343" s="300" t="s">
        <v>560</v>
      </c>
      <c r="B343" s="292" t="s">
        <v>348</v>
      </c>
      <c r="C343" s="301" t="s">
        <v>349</v>
      </c>
      <c r="D343" s="222" t="s">
        <v>76</v>
      </c>
      <c r="E343" s="223">
        <v>7.92</v>
      </c>
      <c r="F343" s="186">
        <v>14.79</v>
      </c>
      <c r="G343" s="186">
        <f>(F343*$E$9)+F343</f>
        <v>18.489999999999998</v>
      </c>
      <c r="H343" s="576">
        <f>E343*G343</f>
        <v>146.44</v>
      </c>
      <c r="I343" s="376">
        <f>(H343*65%)</f>
        <v>95.19</v>
      </c>
      <c r="J343" s="390">
        <f>(H343*35%)</f>
        <v>51.25</v>
      </c>
      <c r="K343" s="312">
        <f>(J343+I343)</f>
        <v>146.44</v>
      </c>
      <c r="L343" s="77"/>
    </row>
    <row r="344" spans="1:12" x14ac:dyDescent="0.2">
      <c r="A344" s="229"/>
      <c r="B344" s="229"/>
      <c r="C344" s="374" t="s">
        <v>362</v>
      </c>
      <c r="D344" s="241"/>
      <c r="E344" s="296"/>
      <c r="F344" s="774"/>
      <c r="G344" s="774"/>
      <c r="H344" s="605">
        <f>H343+H342+H341+H340+H339+H338+H337+H336</f>
        <v>4816.5</v>
      </c>
      <c r="I344" s="418">
        <f>(H344*65%)</f>
        <v>3130.73</v>
      </c>
      <c r="J344" s="418">
        <f>(H344*35%)</f>
        <v>1685.78</v>
      </c>
      <c r="K344" s="313">
        <f>(J344+I344)</f>
        <v>4816.51</v>
      </c>
    </row>
    <row r="345" spans="1:12" s="558" customFormat="1" x14ac:dyDescent="0.2">
      <c r="A345" s="685"/>
      <c r="B345" s="682"/>
      <c r="C345" s="765" t="s">
        <v>510</v>
      </c>
      <c r="D345" s="775"/>
      <c r="E345" s="776"/>
      <c r="F345" s="777"/>
      <c r="G345" s="777"/>
      <c r="H345" s="778">
        <f>H344</f>
        <v>4816.5</v>
      </c>
      <c r="I345" s="556">
        <f>(H345*65%)</f>
        <v>3130.73</v>
      </c>
      <c r="J345" s="556">
        <f>(H345*35%)</f>
        <v>1685.78</v>
      </c>
      <c r="K345" s="564">
        <f>(J345+I345)</f>
        <v>4816.51</v>
      </c>
    </row>
    <row r="346" spans="1:12" x14ac:dyDescent="0.2">
      <c r="A346" s="437" t="s">
        <v>561</v>
      </c>
      <c r="B346" s="309"/>
      <c r="C346" s="310" t="s">
        <v>501</v>
      </c>
      <c r="D346" s="604"/>
      <c r="E346" s="604"/>
      <c r="F346" s="604"/>
      <c r="G346" s="604"/>
      <c r="H346" s="604"/>
      <c r="I346" s="604"/>
      <c r="J346" s="604"/>
      <c r="K346" s="312"/>
    </row>
    <row r="347" spans="1:12" ht="25.5" x14ac:dyDescent="0.2">
      <c r="A347" s="229" t="s">
        <v>562</v>
      </c>
      <c r="B347" s="253">
        <v>99804</v>
      </c>
      <c r="C347" s="254" t="s">
        <v>355</v>
      </c>
      <c r="D347" s="241" t="s">
        <v>76</v>
      </c>
      <c r="E347" s="296">
        <v>309.69</v>
      </c>
      <c r="F347" s="302">
        <v>4.75</v>
      </c>
      <c r="G347" s="302">
        <f>(F347*$E$9)+F347</f>
        <v>5.94</v>
      </c>
      <c r="H347" s="375">
        <f>E347*G347</f>
        <v>1839.56</v>
      </c>
      <c r="I347" s="376">
        <f>(H347*65%)</f>
        <v>1195.71</v>
      </c>
      <c r="J347" s="376">
        <f>(H347*35%)</f>
        <v>643.85</v>
      </c>
      <c r="K347" s="312">
        <f>(J347+I347)</f>
        <v>1839.56</v>
      </c>
    </row>
    <row r="348" spans="1:12" x14ac:dyDescent="0.2">
      <c r="A348" s="229"/>
      <c r="B348" s="229"/>
      <c r="C348" s="374" t="s">
        <v>362</v>
      </c>
      <c r="D348" s="523"/>
      <c r="E348" s="524"/>
      <c r="F348" s="525"/>
      <c r="G348" s="525"/>
      <c r="H348" s="605">
        <f>H347</f>
        <v>1839.56</v>
      </c>
      <c r="I348" s="526">
        <f>(H348*65%)</f>
        <v>1195.71</v>
      </c>
      <c r="J348" s="527">
        <f>(H348*35%)</f>
        <v>643.85</v>
      </c>
      <c r="K348" s="313">
        <f>(J348+I348)</f>
        <v>1839.56</v>
      </c>
    </row>
    <row r="349" spans="1:12" x14ac:dyDescent="0.2">
      <c r="A349" s="437" t="s">
        <v>563</v>
      </c>
      <c r="B349" s="309"/>
      <c r="C349" s="310" t="s">
        <v>400</v>
      </c>
      <c r="D349" s="604"/>
      <c r="E349" s="604"/>
      <c r="F349" s="604"/>
      <c r="G349" s="604"/>
      <c r="H349" s="604"/>
      <c r="I349" s="604"/>
      <c r="J349" s="604"/>
      <c r="K349" s="312"/>
    </row>
    <row r="350" spans="1:12" ht="25.5" x14ac:dyDescent="0.2">
      <c r="A350" s="229" t="s">
        <v>564</v>
      </c>
      <c r="B350" s="253">
        <v>99804</v>
      </c>
      <c r="C350" s="254" t="s">
        <v>355</v>
      </c>
      <c r="D350" s="241" t="s">
        <v>76</v>
      </c>
      <c r="E350" s="296">
        <v>231.64</v>
      </c>
      <c r="F350" s="302">
        <v>4.75</v>
      </c>
      <c r="G350" s="302">
        <f>(F350*$E$9)+F350</f>
        <v>5.94</v>
      </c>
      <c r="H350" s="375">
        <f>E350*G350</f>
        <v>1375.94</v>
      </c>
      <c r="I350" s="376">
        <f>(H350*65%)</f>
        <v>894.36</v>
      </c>
      <c r="J350" s="376">
        <f>(H350*35%)</f>
        <v>481.58</v>
      </c>
      <c r="K350" s="312">
        <f>(J350+I350)</f>
        <v>1375.94</v>
      </c>
    </row>
    <row r="351" spans="1:12" s="31" customFormat="1" x14ac:dyDescent="0.2">
      <c r="A351" s="229"/>
      <c r="B351" s="229"/>
      <c r="C351" s="374" t="s">
        <v>362</v>
      </c>
      <c r="D351" s="852"/>
      <c r="E351" s="853"/>
      <c r="F351" s="853"/>
      <c r="G351" s="854"/>
      <c r="H351" s="561">
        <f>H350</f>
        <v>1375.94</v>
      </c>
      <c r="I351" s="418">
        <f>(H351*65%)</f>
        <v>894.36</v>
      </c>
      <c r="J351" s="527">
        <f>(H351*35%)</f>
        <v>481.58</v>
      </c>
      <c r="K351" s="313">
        <f>(J351+I351)</f>
        <v>1375.94</v>
      </c>
    </row>
    <row r="352" spans="1:12" s="558" customFormat="1" ht="15.75" thickBot="1" x14ac:dyDescent="0.25">
      <c r="A352" s="679"/>
      <c r="B352" s="679"/>
      <c r="C352" s="881" t="s">
        <v>502</v>
      </c>
      <c r="D352" s="882"/>
      <c r="E352" s="882"/>
      <c r="F352" s="882"/>
      <c r="G352" s="883"/>
      <c r="H352" s="699">
        <f>H348</f>
        <v>1839.56</v>
      </c>
      <c r="I352" s="701">
        <f>(H352*65%)</f>
        <v>1195.71</v>
      </c>
      <c r="J352" s="702">
        <f>(H352*35%)</f>
        <v>643.85</v>
      </c>
      <c r="K352" s="564">
        <f>(J352+I352)</f>
        <v>1839.56</v>
      </c>
    </row>
    <row r="353" spans="1:11" s="652" customFormat="1" x14ac:dyDescent="0.2">
      <c r="A353" s="645"/>
      <c r="B353" s="645"/>
      <c r="C353" s="878" t="s">
        <v>457</v>
      </c>
      <c r="D353" s="879"/>
      <c r="E353" s="879"/>
      <c r="F353" s="879"/>
      <c r="G353" s="880"/>
      <c r="H353" s="654">
        <f>H351</f>
        <v>1375.94</v>
      </c>
      <c r="I353" s="580">
        <f>(H353*65%)</f>
        <v>894.36</v>
      </c>
      <c r="J353" s="655">
        <f>(H353*35%)</f>
        <v>481.58</v>
      </c>
      <c r="K353" s="641">
        <f>(J353+I353)</f>
        <v>1375.94</v>
      </c>
    </row>
    <row r="354" spans="1:11" s="517" customFormat="1" x14ac:dyDescent="0.2">
      <c r="A354" s="520"/>
      <c r="B354" s="520"/>
      <c r="C354" s="875" t="s">
        <v>401</v>
      </c>
      <c r="D354" s="876"/>
      <c r="E354" s="876"/>
      <c r="F354" s="876"/>
      <c r="G354" s="877"/>
      <c r="H354" s="531">
        <f>H351+H348</f>
        <v>3215.5</v>
      </c>
      <c r="I354" s="501">
        <f>(H354*65%)</f>
        <v>2090.08</v>
      </c>
      <c r="J354" s="501">
        <f>(H354*35%)</f>
        <v>1125.43</v>
      </c>
      <c r="K354" s="500">
        <f>(J354+I354)</f>
        <v>3215.51</v>
      </c>
    </row>
    <row r="355" spans="1:11" ht="15.75" thickBot="1" x14ac:dyDescent="0.25">
      <c r="A355" s="229"/>
      <c r="B355" s="112"/>
      <c r="C355" s="920" t="s">
        <v>432</v>
      </c>
      <c r="D355" s="920"/>
      <c r="E355" s="920"/>
      <c r="F355" s="920"/>
      <c r="G355" s="920"/>
      <c r="H355" s="528">
        <f>H352+H324+H311+H297+H279+H259+H235+H193+H173+H135+H117+H97+H74+H331+H345</f>
        <v>386470.56</v>
      </c>
      <c r="I355" s="377">
        <f>H355*65%</f>
        <v>251205.86</v>
      </c>
      <c r="J355" s="457">
        <f>H355*35%</f>
        <v>135264.70000000001</v>
      </c>
      <c r="K355" s="240">
        <f>(J355+I355)</f>
        <v>386470.56</v>
      </c>
    </row>
    <row r="356" spans="1:11" ht="15.75" thickBot="1" x14ac:dyDescent="0.25">
      <c r="A356" s="529"/>
      <c r="B356" s="112"/>
      <c r="C356" s="917" t="s">
        <v>503</v>
      </c>
      <c r="D356" s="918"/>
      <c r="E356" s="918"/>
      <c r="F356" s="918"/>
      <c r="G356" s="919"/>
      <c r="H356" s="528">
        <f>H352+H331+H324+H312+H298+H279+H259+H235+H194+H174+H135+H118+H98+H75+H345</f>
        <v>347635.61</v>
      </c>
      <c r="I356" s="377">
        <f>H356*65%</f>
        <v>225963.15</v>
      </c>
      <c r="J356" s="457">
        <f>H356*35%</f>
        <v>121672.46</v>
      </c>
      <c r="K356" s="240">
        <f>(J356+I356)</f>
        <v>347635.61</v>
      </c>
    </row>
    <row r="357" spans="1:11" ht="15.75" thickBot="1" x14ac:dyDescent="0.25">
      <c r="A357" s="529"/>
      <c r="B357" s="112"/>
      <c r="C357" s="917" t="s">
        <v>504</v>
      </c>
      <c r="D357" s="918"/>
      <c r="E357" s="918"/>
      <c r="F357" s="918"/>
      <c r="G357" s="919"/>
      <c r="H357" s="528">
        <f>H313+H299+H195+H175+H119+H99+H76</f>
        <v>38834.949999999997</v>
      </c>
      <c r="I357" s="377">
        <f>H357*65%</f>
        <v>25242.720000000001</v>
      </c>
      <c r="J357" s="457">
        <f>H357*35%</f>
        <v>13592.23</v>
      </c>
      <c r="K357" s="240">
        <f>(J357+I357)</f>
        <v>38834.949999999997</v>
      </c>
    </row>
    <row r="358" spans="1:11" ht="15.75" thickBot="1" x14ac:dyDescent="0.25">
      <c r="A358" s="529"/>
      <c r="B358" s="112"/>
      <c r="C358" s="884" t="s">
        <v>433</v>
      </c>
      <c r="D358" s="884"/>
      <c r="E358" s="884"/>
      <c r="F358" s="884"/>
      <c r="G358" s="884"/>
      <c r="H358" s="528">
        <f>H353+H325+H314+H300+H280+H260+H236+H196+H176+H136+H120+H100+H77+H334</f>
        <v>311259.44</v>
      </c>
      <c r="I358" s="377">
        <f>H358*65%</f>
        <v>202318.64</v>
      </c>
      <c r="J358" s="457">
        <f>H358*35%</f>
        <v>108940.8</v>
      </c>
      <c r="K358" s="240">
        <f>(J358+I358)</f>
        <v>311259.44</v>
      </c>
    </row>
    <row r="359" spans="1:11" ht="15.75" thickBot="1" x14ac:dyDescent="0.25">
      <c r="A359" s="438"/>
      <c r="B359" s="324"/>
      <c r="C359" s="842" t="s">
        <v>434</v>
      </c>
      <c r="D359" s="842"/>
      <c r="E359" s="842"/>
      <c r="F359" s="842"/>
      <c r="G359" s="842"/>
      <c r="H359" s="530">
        <f>H355+H358</f>
        <v>697730</v>
      </c>
      <c r="I359" s="378">
        <f>H359*65%</f>
        <v>453524.5</v>
      </c>
      <c r="J359" s="458">
        <f>H359*35%</f>
        <v>244205.5</v>
      </c>
      <c r="K359" s="240">
        <f>(J359+I359)</f>
        <v>697730</v>
      </c>
    </row>
    <row r="360" spans="1:11" ht="15.75" thickBot="1" x14ac:dyDescent="0.25">
      <c r="A360" s="113" t="s">
        <v>91</v>
      </c>
      <c r="B360" s="149">
        <v>44634</v>
      </c>
      <c r="C360" s="108" t="s">
        <v>47</v>
      </c>
      <c r="D360" s="94"/>
      <c r="E360" s="88"/>
      <c r="F360" s="85" t="s">
        <v>54</v>
      </c>
      <c r="G360" s="85"/>
      <c r="H360" s="405"/>
      <c r="I360" s="406"/>
      <c r="J360" s="406"/>
      <c r="K360" s="27"/>
    </row>
    <row r="361" spans="1:11" x14ac:dyDescent="0.2">
      <c r="A361" s="113"/>
      <c r="B361" s="96"/>
      <c r="C361" s="108"/>
      <c r="D361" s="93"/>
      <c r="E361" s="88"/>
      <c r="F361" s="85"/>
      <c r="G361" s="85"/>
      <c r="H361" s="381"/>
      <c r="I361" s="381"/>
      <c r="J361" s="381"/>
      <c r="K361" s="27"/>
    </row>
    <row r="362" spans="1:11" x14ac:dyDescent="0.2">
      <c r="A362" s="102"/>
      <c r="B362" s="94"/>
      <c r="C362" s="107"/>
      <c r="D362" s="93"/>
      <c r="E362" s="89"/>
      <c r="F362" s="83"/>
      <c r="G362" s="83"/>
      <c r="H362" s="381"/>
      <c r="I362" s="406"/>
      <c r="J362" s="406"/>
      <c r="K362" s="27"/>
    </row>
    <row r="363" spans="1:11" ht="15.75" x14ac:dyDescent="0.2">
      <c r="A363" s="102"/>
      <c r="B363" s="97"/>
      <c r="C363" s="109" t="s">
        <v>583</v>
      </c>
      <c r="D363" s="93"/>
      <c r="E363" s="90"/>
      <c r="F363" s="86" t="s">
        <v>73</v>
      </c>
      <c r="G363" s="86"/>
      <c r="H363" s="381"/>
      <c r="I363" s="406"/>
      <c r="J363" s="406"/>
      <c r="K363" s="27"/>
    </row>
    <row r="364" spans="1:11" x14ac:dyDescent="0.2">
      <c r="A364" s="102"/>
      <c r="B364" s="98"/>
      <c r="C364" s="110" t="s">
        <v>584</v>
      </c>
      <c r="D364" s="93"/>
      <c r="E364" s="88"/>
      <c r="F364" s="85" t="s">
        <v>74</v>
      </c>
      <c r="G364" s="85"/>
      <c r="H364" s="381"/>
      <c r="I364" s="407"/>
      <c r="J364" s="407"/>
      <c r="K364" s="27"/>
    </row>
    <row r="365" spans="1:11" x14ac:dyDescent="0.2">
      <c r="A365" s="102"/>
      <c r="B365" s="98"/>
      <c r="C365" s="110" t="s">
        <v>57</v>
      </c>
      <c r="D365" s="93"/>
      <c r="E365" s="88"/>
      <c r="F365" s="85" t="s">
        <v>77</v>
      </c>
      <c r="G365" s="85"/>
      <c r="H365" s="381"/>
      <c r="I365" s="407"/>
      <c r="J365" s="407"/>
      <c r="K365" s="27"/>
    </row>
    <row r="366" spans="1:11" x14ac:dyDescent="0.2">
      <c r="A366" s="104"/>
      <c r="B366" s="104"/>
      <c r="C366" s="100"/>
      <c r="D366" s="237"/>
      <c r="E366" s="238"/>
      <c r="F366" s="239"/>
      <c r="G366" s="239"/>
      <c r="H366" s="408"/>
      <c r="I366" s="409"/>
      <c r="J366" s="409"/>
      <c r="K366" s="27"/>
    </row>
    <row r="367" spans="1:11" x14ac:dyDescent="0.2">
      <c r="A367" s="30"/>
      <c r="K367" s="27"/>
    </row>
  </sheetData>
  <mergeCells count="65">
    <mergeCell ref="D326:G326"/>
    <mergeCell ref="D325:G325"/>
    <mergeCell ref="D134:G134"/>
    <mergeCell ref="D101:G101"/>
    <mergeCell ref="D49:G49"/>
    <mergeCell ref="D57:G57"/>
    <mergeCell ref="D64:G64"/>
    <mergeCell ref="D67:G67"/>
    <mergeCell ref="D73:G73"/>
    <mergeCell ref="D330:G330"/>
    <mergeCell ref="C357:G357"/>
    <mergeCell ref="C356:G356"/>
    <mergeCell ref="D351:G351"/>
    <mergeCell ref="C355:G355"/>
    <mergeCell ref="D100:G100"/>
    <mergeCell ref="D96:G96"/>
    <mergeCell ref="D235:G235"/>
    <mergeCell ref="D197:G197"/>
    <mergeCell ref="D193:G193"/>
    <mergeCell ref="D324:G324"/>
    <mergeCell ref="D195:G195"/>
    <mergeCell ref="I112:J112"/>
    <mergeCell ref="B292:C292"/>
    <mergeCell ref="B302:C302"/>
    <mergeCell ref="D300:G300"/>
    <mergeCell ref="D301:G301"/>
    <mergeCell ref="D297:G297"/>
    <mergeCell ref="B305:C305"/>
    <mergeCell ref="D315:G315"/>
    <mergeCell ref="D314:G314"/>
    <mergeCell ref="D311:G311"/>
    <mergeCell ref="A11:H11"/>
    <mergeCell ref="A12:H12"/>
    <mergeCell ref="A13:H13"/>
    <mergeCell ref="A14:H14"/>
    <mergeCell ref="D77:G77"/>
    <mergeCell ref="D75:G75"/>
    <mergeCell ref="D43:G43"/>
    <mergeCell ref="D32:G32"/>
    <mergeCell ref="D22:G22"/>
    <mergeCell ref="C23:D23"/>
    <mergeCell ref="A74:B74"/>
    <mergeCell ref="D74:G74"/>
    <mergeCell ref="D38:G38"/>
    <mergeCell ref="A3:C3"/>
    <mergeCell ref="A7:H7"/>
    <mergeCell ref="A5:C5"/>
    <mergeCell ref="A6:H6"/>
    <mergeCell ref="A10:H10"/>
    <mergeCell ref="C359:G359"/>
    <mergeCell ref="D136:G136"/>
    <mergeCell ref="D135:G135"/>
    <mergeCell ref="D137:G137"/>
    <mergeCell ref="D192:G192"/>
    <mergeCell ref="D196:G196"/>
    <mergeCell ref="D259:G259"/>
    <mergeCell ref="B308:C308"/>
    <mergeCell ref="D281:G281"/>
    <mergeCell ref="D280:G280"/>
    <mergeCell ref="D237:G237"/>
    <mergeCell ref="D236:G236"/>
    <mergeCell ref="C354:G354"/>
    <mergeCell ref="C353:G353"/>
    <mergeCell ref="C352:G352"/>
    <mergeCell ref="C358:G358"/>
  </mergeCells>
  <pageMargins left="0.23622047244094491" right="0.23622047244094491" top="0.74803149606299213" bottom="0.74803149606299213" header="0.31496062992125984" footer="0.31496062992125984"/>
  <pageSetup paperSize="9" scale="54" fitToHeight="0" orientation="portrait" r:id="rId1"/>
  <headerFooter>
    <oddHeader>&amp;RPágina &amp;P de &amp;N</oddHeader>
  </headerFooter>
  <rowBreaks count="3" manualBreakCount="3">
    <brk id="118" max="9" man="1"/>
    <brk id="176" max="9" man="1"/>
    <brk id="22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79"/>
  <sheetViews>
    <sheetView showGridLines="0" zoomScale="75" zoomScaleNormal="75" zoomScaleSheetLayoutView="70" workbookViewId="0">
      <selection activeCell="AG12" sqref="AG12"/>
    </sheetView>
  </sheetViews>
  <sheetFormatPr defaultColWidth="3.7109375" defaultRowHeight="15" x14ac:dyDescent="0.2"/>
  <cols>
    <col min="1" max="8" width="8.7109375" style="37" customWidth="1"/>
    <col min="9" max="20" width="5.7109375" style="37" customWidth="1"/>
    <col min="21" max="26" width="3.7109375" style="37" customWidth="1"/>
    <col min="27" max="27" width="10.85546875" style="37" hidden="1" customWidth="1"/>
    <col min="28" max="28" width="7" style="37" hidden="1" customWidth="1"/>
    <col min="29" max="16384" width="3.7109375" style="37"/>
  </cols>
  <sheetData>
    <row r="1" spans="1:41" ht="80.099999999999994" customHeight="1" thickBot="1" x14ac:dyDescent="0.25"/>
    <row r="2" spans="1:41" ht="18" x14ac:dyDescent="0.2">
      <c r="A2" s="68" t="s">
        <v>58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70"/>
    </row>
    <row r="3" spans="1:41" ht="18" x14ac:dyDescent="0.25">
      <c r="A3" s="76" t="s">
        <v>71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2"/>
    </row>
    <row r="4" spans="1:41" ht="5.0999999999999996" customHeight="1" x14ac:dyDescent="0.2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5"/>
      <c r="U4" s="38"/>
      <c r="V4" s="38"/>
      <c r="W4" s="38"/>
      <c r="X4" s="38"/>
      <c r="Y4" s="38"/>
    </row>
    <row r="5" spans="1:41" ht="15" customHeight="1" x14ac:dyDescent="0.2">
      <c r="A5" s="935" t="str">
        <f>'ANEXO 01-ORÇAMENTO'!A5:C5</f>
        <v>SOLICITANTE: SECRETARIA MUNICIPAL DE EDUCAÇÃO</v>
      </c>
      <c r="B5" s="936"/>
      <c r="C5" s="936"/>
      <c r="D5" s="936"/>
      <c r="E5" s="936"/>
      <c r="F5" s="937"/>
      <c r="G5" s="937"/>
      <c r="H5" s="937"/>
      <c r="I5" s="937"/>
      <c r="J5" s="937"/>
      <c r="K5" s="937"/>
      <c r="L5" s="937"/>
      <c r="M5" s="937"/>
      <c r="N5" s="937"/>
      <c r="O5" s="937"/>
      <c r="P5" s="937"/>
      <c r="Q5" s="937"/>
      <c r="R5" s="937"/>
      <c r="S5" s="937"/>
      <c r="T5" s="938"/>
      <c r="U5" s="38"/>
      <c r="V5" s="38"/>
      <c r="W5" s="38"/>
      <c r="X5" s="38"/>
      <c r="Y5" s="38"/>
    </row>
    <row r="6" spans="1:41" ht="15" customHeight="1" x14ac:dyDescent="0.2">
      <c r="A6" s="924" t="str">
        <f>'ANEXO 01-ORÇAMENTO'!A6</f>
        <v>OBJETO: E.M.E.F. JOÃO CERNICCHIARO</v>
      </c>
      <c r="B6" s="925"/>
      <c r="C6" s="925"/>
      <c r="D6" s="925"/>
      <c r="E6" s="925"/>
      <c r="F6" s="926"/>
      <c r="G6" s="926"/>
      <c r="H6" s="926"/>
      <c r="I6" s="926"/>
      <c r="J6" s="926"/>
      <c r="K6" s="926"/>
      <c r="L6" s="926"/>
      <c r="M6" s="926"/>
      <c r="N6" s="926"/>
      <c r="O6" s="926"/>
      <c r="P6" s="926"/>
      <c r="Q6" s="926"/>
      <c r="R6" s="926"/>
      <c r="S6" s="926"/>
      <c r="T6" s="927"/>
      <c r="U6" s="38"/>
      <c r="V6" s="38"/>
      <c r="W6" s="38"/>
      <c r="X6" s="38"/>
      <c r="Y6" s="38"/>
    </row>
    <row r="7" spans="1:41" ht="15" customHeight="1" x14ac:dyDescent="0.2">
      <c r="A7" s="928" t="str">
        <f>'ANEXO 01-ORÇAMENTO'!A7:C7</f>
        <v>LOCAL DA OBRA: Professora Nair, Lago de Oliveira</v>
      </c>
      <c r="B7" s="929"/>
      <c r="C7" s="929"/>
      <c r="D7" s="929"/>
      <c r="E7" s="929"/>
      <c r="F7" s="930"/>
      <c r="G7" s="930"/>
      <c r="H7" s="930"/>
      <c r="I7" s="930"/>
      <c r="J7" s="930"/>
      <c r="K7" s="930"/>
      <c r="L7" s="930"/>
      <c r="M7" s="930"/>
      <c r="N7" s="930"/>
      <c r="O7" s="930"/>
      <c r="P7" s="930"/>
      <c r="Q7" s="930"/>
      <c r="R7" s="930"/>
      <c r="S7" s="930"/>
      <c r="T7" s="931"/>
      <c r="U7" s="38"/>
      <c r="V7" s="38"/>
      <c r="W7" s="38"/>
      <c r="X7" s="38"/>
      <c r="Y7" s="38"/>
    </row>
    <row r="8" spans="1:41" ht="16.5" thickBot="1" x14ac:dyDescent="0.25">
      <c r="A8" s="932"/>
      <c r="B8" s="933"/>
      <c r="C8" s="933"/>
      <c r="D8" s="933"/>
      <c r="E8" s="933"/>
      <c r="F8" s="933"/>
      <c r="G8" s="933"/>
      <c r="H8" s="933"/>
      <c r="I8" s="933"/>
      <c r="J8" s="933"/>
      <c r="K8" s="933"/>
      <c r="L8" s="933"/>
      <c r="M8" s="933"/>
      <c r="N8" s="933"/>
      <c r="O8" s="933"/>
      <c r="P8" s="933"/>
      <c r="Q8" s="933"/>
      <c r="R8" s="933"/>
      <c r="S8" s="933"/>
      <c r="T8" s="934"/>
      <c r="U8" s="38"/>
      <c r="V8" s="38"/>
      <c r="W8" s="38"/>
      <c r="X8" s="38"/>
      <c r="Y8" s="38"/>
    </row>
    <row r="9" spans="1:41" ht="30" customHeight="1" x14ac:dyDescent="0.2">
      <c r="A9" s="939" t="s">
        <v>5</v>
      </c>
      <c r="B9" s="940"/>
      <c r="C9" s="940"/>
      <c r="D9" s="940"/>
      <c r="E9" s="940"/>
      <c r="F9" s="39"/>
      <c r="G9" s="40"/>
      <c r="H9" s="40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2"/>
      <c r="U9" s="38"/>
      <c r="V9" s="38"/>
      <c r="W9" s="38"/>
      <c r="X9" s="38"/>
      <c r="Y9" s="38"/>
    </row>
    <row r="10" spans="1:41" ht="30" customHeight="1" thickBot="1" x14ac:dyDescent="0.25">
      <c r="A10" s="941" t="s">
        <v>6</v>
      </c>
      <c r="B10" s="942"/>
      <c r="C10" s="942"/>
      <c r="D10" s="942"/>
      <c r="E10" s="942"/>
      <c r="F10" s="43"/>
      <c r="G10" s="44"/>
      <c r="H10" s="44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6"/>
      <c r="U10" s="38"/>
      <c r="V10" s="38"/>
      <c r="W10" s="38"/>
      <c r="X10" s="38"/>
      <c r="Y10" s="38"/>
    </row>
    <row r="11" spans="1:41" ht="60" customHeight="1" x14ac:dyDescent="0.2">
      <c r="A11" s="943" t="s">
        <v>7</v>
      </c>
      <c r="B11" s="944"/>
      <c r="C11" s="944"/>
      <c r="D11" s="944"/>
      <c r="E11" s="944"/>
      <c r="F11" s="947" t="s">
        <v>8</v>
      </c>
      <c r="G11" s="948"/>
      <c r="H11" s="949"/>
      <c r="I11" s="47"/>
      <c r="J11" s="47"/>
      <c r="K11" s="48"/>
      <c r="L11" s="953" t="s">
        <v>9</v>
      </c>
      <c r="M11" s="954"/>
      <c r="N11" s="954"/>
      <c r="O11" s="954"/>
      <c r="P11" s="954"/>
      <c r="Q11" s="954"/>
      <c r="R11" s="954"/>
      <c r="S11" s="954"/>
      <c r="T11" s="955"/>
      <c r="U11" s="49"/>
      <c r="V11" s="49"/>
      <c r="W11" s="49"/>
      <c r="X11" s="49"/>
      <c r="Y11" s="49"/>
      <c r="Z11" s="49"/>
      <c r="AA11" s="49"/>
      <c r="AB11" s="49"/>
      <c r="AC11" s="67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</row>
    <row r="12" spans="1:41" ht="21.75" customHeight="1" x14ac:dyDescent="0.2">
      <c r="A12" s="945"/>
      <c r="B12" s="946"/>
      <c r="C12" s="946"/>
      <c r="D12" s="946"/>
      <c r="E12" s="946"/>
      <c r="F12" s="950"/>
      <c r="G12" s="951"/>
      <c r="H12" s="952"/>
      <c r="I12" s="47"/>
      <c r="J12" s="47"/>
      <c r="K12" s="48"/>
      <c r="L12" s="956" t="s">
        <v>10</v>
      </c>
      <c r="M12" s="957"/>
      <c r="N12" s="957"/>
      <c r="O12" s="957" t="s">
        <v>11</v>
      </c>
      <c r="P12" s="957"/>
      <c r="Q12" s="957"/>
      <c r="R12" s="957" t="s">
        <v>12</v>
      </c>
      <c r="S12" s="957"/>
      <c r="T12" s="958"/>
      <c r="W12" s="38"/>
      <c r="X12" s="38"/>
      <c r="Y12" s="38"/>
      <c r="Z12" s="38"/>
    </row>
    <row r="13" spans="1:41" s="61" customFormat="1" ht="30" customHeight="1" x14ac:dyDescent="0.2">
      <c r="A13" s="968" t="s">
        <v>60</v>
      </c>
      <c r="B13" s="969"/>
      <c r="C13" s="969"/>
      <c r="D13" s="969"/>
      <c r="E13" s="969"/>
      <c r="F13" s="970">
        <v>4.8899999999999997</v>
      </c>
      <c r="G13" s="971"/>
      <c r="H13" s="972"/>
      <c r="I13" s="964" t="str">
        <f>IF(F13&lt;L13," Atenção",IF(F13&gt;R13,"Atenção","OK"))</f>
        <v>OK</v>
      </c>
      <c r="J13" s="965"/>
      <c r="K13" s="60"/>
      <c r="L13" s="966">
        <f>CHOOSE(Plan4!$B$17,Plan4!C6,Plan4!D6,Plan4!E6,Plan4!F6,Plan4!G6,Plan4!H6)</f>
        <v>3</v>
      </c>
      <c r="M13" s="967"/>
      <c r="N13" s="967"/>
      <c r="O13" s="967">
        <f>CHOOSE(Plan4!$B$17,Plan4!I6,Plan4!J6,Plan4!K6,Plan4!L6,Plan4!M6,Plan4!N6)</f>
        <v>4</v>
      </c>
      <c r="P13" s="967"/>
      <c r="Q13" s="967"/>
      <c r="R13" s="967">
        <f>CHOOSE(Plan4!$B$17,Plan4!O6,Plan4!P6,Plan4!Q6,Plan4!R6,Plan4!S6,Plan4!T6)</f>
        <v>5.5</v>
      </c>
      <c r="S13" s="967"/>
      <c r="T13" s="973"/>
      <c r="W13" s="62"/>
      <c r="X13" s="62"/>
      <c r="Y13" s="62"/>
      <c r="Z13" s="62"/>
    </row>
    <row r="14" spans="1:41" s="61" customFormat="1" ht="30" customHeight="1" x14ac:dyDescent="0.2">
      <c r="A14" s="959" t="s">
        <v>61</v>
      </c>
      <c r="B14" s="960"/>
      <c r="C14" s="960"/>
      <c r="D14" s="960"/>
      <c r="E14" s="960"/>
      <c r="F14" s="961">
        <v>1</v>
      </c>
      <c r="G14" s="962"/>
      <c r="H14" s="963"/>
      <c r="I14" s="964" t="str">
        <f t="shared" ref="I14:I20" si="0">IF(F14&lt;L14," Atenção",IF(F14&gt;R14,"Atenção","OK"))</f>
        <v>OK</v>
      </c>
      <c r="J14" s="965"/>
      <c r="K14" s="60"/>
      <c r="L14" s="966">
        <f>CHOOSE(Plan4!$B$17,Plan4!C7,Plan4!D7,Plan4!E7,Plan4!F7,Plan4!G7,Plan4!H7)</f>
        <v>0.8</v>
      </c>
      <c r="M14" s="967"/>
      <c r="N14" s="967"/>
      <c r="O14" s="967">
        <f>CHOOSE(Plan4!$B$17,Plan4!I7,Plan4!J7,Plan4!K7,Plan4!L7,Plan4!M7,Plan4!N7)</f>
        <v>0.8</v>
      </c>
      <c r="P14" s="967"/>
      <c r="Q14" s="967"/>
      <c r="R14" s="967">
        <f>CHOOSE(Plan4!$B$17,Plan4!O7,Plan4!P7,Plan4!Q7,Plan4!R7,Plan4!S7,Plan4!T7)</f>
        <v>1</v>
      </c>
      <c r="S14" s="967"/>
      <c r="T14" s="973"/>
      <c r="W14" s="62"/>
      <c r="X14" s="62"/>
      <c r="Y14" s="62"/>
      <c r="Z14" s="62"/>
    </row>
    <row r="15" spans="1:41" s="61" customFormat="1" ht="30" customHeight="1" x14ac:dyDescent="0.2">
      <c r="A15" s="959" t="s">
        <v>62</v>
      </c>
      <c r="B15" s="960"/>
      <c r="C15" s="960"/>
      <c r="D15" s="960"/>
      <c r="E15" s="960"/>
      <c r="F15" s="961">
        <v>1.27</v>
      </c>
      <c r="G15" s="962"/>
      <c r="H15" s="963"/>
      <c r="I15" s="964" t="str">
        <f t="shared" si="0"/>
        <v>OK</v>
      </c>
      <c r="J15" s="965"/>
      <c r="K15" s="60"/>
      <c r="L15" s="966">
        <f>CHOOSE(Plan4!$B$17,Plan4!C8,Plan4!D8,Plan4!E8,Plan4!F8,Plan4!G8,Plan4!H8)</f>
        <v>0.97</v>
      </c>
      <c r="M15" s="967"/>
      <c r="N15" s="967"/>
      <c r="O15" s="967">
        <f>CHOOSE(Plan4!$B$17,Plan4!I8,Plan4!J8,Plan4!K8,Plan4!L8,Plan4!M8,Plan4!N8)</f>
        <v>1.27</v>
      </c>
      <c r="P15" s="967"/>
      <c r="Q15" s="967"/>
      <c r="R15" s="967">
        <f>CHOOSE(Plan4!$B$17,Plan4!O8,Plan4!P8,Plan4!Q8,Plan4!R8,Plan4!S8,Plan4!T8)</f>
        <v>1.27</v>
      </c>
      <c r="S15" s="967"/>
      <c r="T15" s="973"/>
      <c r="W15" s="62"/>
      <c r="X15" s="62"/>
      <c r="Y15" s="62"/>
      <c r="Z15" s="62"/>
    </row>
    <row r="16" spans="1:41" s="61" customFormat="1" ht="30" customHeight="1" x14ac:dyDescent="0.2">
      <c r="A16" s="959" t="s">
        <v>63</v>
      </c>
      <c r="B16" s="960"/>
      <c r="C16" s="960"/>
      <c r="D16" s="960"/>
      <c r="E16" s="960"/>
      <c r="F16" s="961">
        <v>1.39</v>
      </c>
      <c r="G16" s="962"/>
      <c r="H16" s="963"/>
      <c r="I16" s="964" t="str">
        <f t="shared" si="0"/>
        <v>OK</v>
      </c>
      <c r="J16" s="965"/>
      <c r="K16" s="60"/>
      <c r="L16" s="966">
        <f>CHOOSE(Plan4!$B$17,Plan4!C9,Plan4!D9,Plan4!E9,Plan4!F9,Plan4!G9,Plan4!H9)</f>
        <v>0.59</v>
      </c>
      <c r="M16" s="967"/>
      <c r="N16" s="967"/>
      <c r="O16" s="967">
        <f>CHOOSE(Plan4!$B$17,Plan4!I9,Plan4!J9,Plan4!K9,Plan4!L9,Plan4!M9,Plan4!N9)</f>
        <v>1.23</v>
      </c>
      <c r="P16" s="967"/>
      <c r="Q16" s="967"/>
      <c r="R16" s="967">
        <f>CHOOSE(Plan4!$B$17,Plan4!O9,Plan4!P9,Plan4!Q9,Plan4!R9,Plan4!S9,Plan4!T9)</f>
        <v>1.39</v>
      </c>
      <c r="S16" s="967"/>
      <c r="T16" s="973"/>
      <c r="W16" s="62"/>
      <c r="X16" s="62"/>
      <c r="Y16" s="62"/>
      <c r="Z16" s="62"/>
    </row>
    <row r="17" spans="1:26" s="61" customFormat="1" ht="30" customHeight="1" x14ac:dyDescent="0.2">
      <c r="A17" s="959" t="s">
        <v>64</v>
      </c>
      <c r="B17" s="960"/>
      <c r="C17" s="960"/>
      <c r="D17" s="960"/>
      <c r="E17" s="960"/>
      <c r="F17" s="961">
        <v>7.4</v>
      </c>
      <c r="G17" s="962"/>
      <c r="H17" s="963"/>
      <c r="I17" s="964" t="str">
        <f t="shared" si="0"/>
        <v>OK</v>
      </c>
      <c r="J17" s="965"/>
      <c r="K17" s="60"/>
      <c r="L17" s="966">
        <f>CHOOSE(Plan4!$B$17,Plan4!C10,Plan4!D10,Plan4!E10,Plan4!F10,Plan4!G10,Plan4!H10)</f>
        <v>6.16</v>
      </c>
      <c r="M17" s="967"/>
      <c r="N17" s="967"/>
      <c r="O17" s="967">
        <f>CHOOSE(Plan4!$B$17,Plan4!I10,Plan4!J10,Plan4!K10,Plan4!L10,Plan4!M10,Plan4!N10)</f>
        <v>7.4</v>
      </c>
      <c r="P17" s="967"/>
      <c r="Q17" s="967"/>
      <c r="R17" s="967">
        <f>CHOOSE(Plan4!$B$17,Plan4!O10,Plan4!P10,Plan4!Q10,Plan4!R10,Plan4!S10,Plan4!T10)</f>
        <v>8.9600000000000009</v>
      </c>
      <c r="S17" s="967"/>
      <c r="T17" s="973"/>
      <c r="W17" s="62"/>
      <c r="X17" s="62"/>
      <c r="Y17" s="62"/>
      <c r="Z17" s="62"/>
    </row>
    <row r="18" spans="1:26" s="61" customFormat="1" ht="30" customHeight="1" x14ac:dyDescent="0.2">
      <c r="A18" s="959" t="s">
        <v>65</v>
      </c>
      <c r="B18" s="960"/>
      <c r="C18" s="960"/>
      <c r="D18" s="960"/>
      <c r="E18" s="960"/>
      <c r="F18" s="961">
        <v>0.65</v>
      </c>
      <c r="G18" s="962"/>
      <c r="H18" s="963"/>
      <c r="I18" s="964" t="str">
        <f t="shared" si="0"/>
        <v>OK</v>
      </c>
      <c r="J18" s="965"/>
      <c r="K18" s="60"/>
      <c r="L18" s="966">
        <f>CHOOSE(Plan4!$B$17,Plan4!C11,Plan4!D11,Plan4!E11,Plan4!F11,Plan4!G11,Plan4!H11)</f>
        <v>0.65</v>
      </c>
      <c r="M18" s="967"/>
      <c r="N18" s="967"/>
      <c r="O18" s="967">
        <f>CHOOSE(Plan4!$B$17,Plan4!I11,Plan4!J11,Plan4!K11,Plan4!L11,Plan4!M11,Plan4!N11)</f>
        <v>0.65</v>
      </c>
      <c r="P18" s="967"/>
      <c r="Q18" s="967"/>
      <c r="R18" s="967">
        <f>CHOOSE(Plan4!$B$17,Plan4!O11,Plan4!P11,Plan4!Q11,Plan4!R11,Plan4!S11,Plan4!T11)</f>
        <v>0.65</v>
      </c>
      <c r="S18" s="967"/>
      <c r="T18" s="973"/>
      <c r="U18" s="63"/>
      <c r="V18" s="63"/>
      <c r="W18" s="62"/>
      <c r="X18" s="62"/>
      <c r="Y18" s="62"/>
      <c r="Z18" s="62"/>
    </row>
    <row r="19" spans="1:26" s="61" customFormat="1" ht="30" customHeight="1" x14ac:dyDescent="0.2">
      <c r="A19" s="959" t="s">
        <v>66</v>
      </c>
      <c r="B19" s="960"/>
      <c r="C19" s="960"/>
      <c r="D19" s="960"/>
      <c r="E19" s="960"/>
      <c r="F19" s="961">
        <v>3</v>
      </c>
      <c r="G19" s="962"/>
      <c r="H19" s="963"/>
      <c r="I19" s="964" t="str">
        <f t="shared" si="0"/>
        <v>OK</v>
      </c>
      <c r="J19" s="965"/>
      <c r="K19" s="60"/>
      <c r="L19" s="966">
        <f>CHOOSE(Plan4!$B$17,Plan4!C12,Plan4!D12,Plan4!E12,Plan4!F12,Plan4!G12,Plan4!H12)</f>
        <v>3</v>
      </c>
      <c r="M19" s="967"/>
      <c r="N19" s="967"/>
      <c r="O19" s="967">
        <f>CHOOSE(Plan4!$B$17,Plan4!I12,Plan4!J12,Plan4!K12,Plan4!L12,Plan4!M12,Plan4!N12)</f>
        <v>3</v>
      </c>
      <c r="P19" s="967"/>
      <c r="Q19" s="967"/>
      <c r="R19" s="967">
        <f>CHOOSE(Plan4!$B$17,Plan4!O12,Plan4!P12,Plan4!Q12,Plan4!R12,Plan4!S12,Plan4!T12)</f>
        <v>3</v>
      </c>
      <c r="S19" s="967"/>
      <c r="T19" s="973"/>
      <c r="W19" s="62"/>
      <c r="X19" s="62"/>
      <c r="Y19" s="62"/>
      <c r="Z19" s="62"/>
    </row>
    <row r="20" spans="1:26" s="61" customFormat="1" ht="30" customHeight="1" x14ac:dyDescent="0.2">
      <c r="A20" s="959" t="s">
        <v>67</v>
      </c>
      <c r="B20" s="960"/>
      <c r="C20" s="960"/>
      <c r="D20" s="960"/>
      <c r="E20" s="960"/>
      <c r="F20" s="961">
        <v>3</v>
      </c>
      <c r="G20" s="962"/>
      <c r="H20" s="963"/>
      <c r="I20" s="964" t="str">
        <f t="shared" si="0"/>
        <v>OK</v>
      </c>
      <c r="J20" s="965"/>
      <c r="K20" s="60"/>
      <c r="L20" s="976">
        <f>CHOOSE(Plan4!$B$17,Plan4!C13,Plan4!D13,Plan4!E13,Plan4!F13,Plan4!G13,Plan4!H13)</f>
        <v>2</v>
      </c>
      <c r="M20" s="974"/>
      <c r="N20" s="974"/>
      <c r="O20" s="974">
        <f>CHOOSE(Plan4!$B$17,Plan4!I13,Plan4!J13,Plan4!K13,Plan4!L13,Plan4!M13,Plan4!N13)</f>
        <v>2</v>
      </c>
      <c r="P20" s="974"/>
      <c r="Q20" s="974"/>
      <c r="R20" s="974">
        <f>CHOOSE(Plan4!$B$17,Plan4!O13,Plan4!P13,Plan4!Q13,Plan4!R13,Plan4!S13,Plan4!T13)</f>
        <v>5</v>
      </c>
      <c r="S20" s="974"/>
      <c r="T20" s="975"/>
      <c r="W20" s="62"/>
      <c r="X20" s="62"/>
      <c r="Y20" s="62"/>
      <c r="Z20" s="62"/>
    </row>
    <row r="21" spans="1:26" s="61" customFormat="1" ht="30" customHeight="1" thickBot="1" x14ac:dyDescent="0.25">
      <c r="A21" s="988" t="s">
        <v>68</v>
      </c>
      <c r="B21" s="989"/>
      <c r="C21" s="989"/>
      <c r="D21" s="989"/>
      <c r="E21" s="989"/>
      <c r="F21" s="990">
        <v>0</v>
      </c>
      <c r="G21" s="991"/>
      <c r="H21" s="992"/>
      <c r="I21" s="64"/>
      <c r="J21" s="64"/>
      <c r="K21" s="60"/>
      <c r="L21" s="977"/>
      <c r="M21" s="977"/>
      <c r="N21" s="977"/>
      <c r="O21" s="977"/>
      <c r="P21" s="977"/>
      <c r="Q21" s="977"/>
      <c r="R21" s="977"/>
      <c r="S21" s="977"/>
      <c r="T21" s="978"/>
      <c r="W21" s="62"/>
      <c r="X21" s="62"/>
      <c r="Y21" s="62"/>
      <c r="Z21" s="62"/>
    </row>
    <row r="22" spans="1:26" s="62" customFormat="1" ht="30" customHeight="1" thickBot="1" x14ac:dyDescent="0.25">
      <c r="A22" s="979" t="s">
        <v>13</v>
      </c>
      <c r="B22" s="980"/>
      <c r="C22" s="980"/>
      <c r="D22" s="980"/>
      <c r="E22" s="981"/>
      <c r="F22" s="982">
        <f>TRUNC((((((1+F13/100+F14/100+F15/100)*(1+F16/100)*(1+F17/100))/(1-(F18/100+F19/100+F20/100+F21/100)))-1)*100),2)</f>
        <v>25</v>
      </c>
      <c r="G22" s="983"/>
      <c r="H22" s="984"/>
      <c r="I22" s="64"/>
      <c r="J22" s="64"/>
      <c r="K22" s="60"/>
      <c r="L22" s="65"/>
      <c r="M22" s="65"/>
      <c r="N22" s="65"/>
      <c r="O22" s="65"/>
      <c r="P22" s="65"/>
      <c r="Q22" s="65"/>
      <c r="R22" s="65"/>
      <c r="S22" s="65"/>
      <c r="T22" s="66"/>
    </row>
    <row r="23" spans="1:26" s="38" customFormat="1" ht="26.25" customHeight="1" x14ac:dyDescent="0.2">
      <c r="A23" s="54"/>
      <c r="B23" s="55"/>
      <c r="C23" s="55"/>
      <c r="D23" s="55"/>
      <c r="E23" s="55"/>
      <c r="F23" s="56"/>
      <c r="G23" s="56"/>
      <c r="H23" s="56"/>
      <c r="I23" s="47"/>
      <c r="J23" s="47"/>
      <c r="K23" s="48"/>
      <c r="L23" s="50"/>
      <c r="M23" s="50"/>
      <c r="N23" s="50"/>
      <c r="O23" s="50"/>
      <c r="P23" s="50"/>
      <c r="Q23" s="50"/>
      <c r="R23" s="50"/>
      <c r="S23" s="50"/>
      <c r="T23" s="51"/>
    </row>
    <row r="24" spans="1:26" s="38" customFormat="1" ht="15" customHeight="1" x14ac:dyDescent="0.2">
      <c r="A24" s="985" t="str">
        <f>IF(OR(I13&lt;&gt;"OK",I14&lt;&gt;"OK",I15&lt;&gt;"OK",I16&lt;&gt;"OK",I17&lt;&gt;"OK",I18&lt;&gt;"OK",I19&lt;&gt;"OK",I20&lt;&gt;"OK"),"Há parcela(s) componente(s) do BDI com valor(s) diferente(s) dos admitidos pelo Acórdão TCU Plenária 2622/2013.",".")</f>
        <v>.</v>
      </c>
      <c r="B24" s="986"/>
      <c r="C24" s="986"/>
      <c r="D24" s="986"/>
      <c r="E24" s="986"/>
      <c r="F24" s="986"/>
      <c r="G24" s="986"/>
      <c r="H24" s="986"/>
      <c r="I24" s="986"/>
      <c r="J24" s="986"/>
      <c r="K24" s="986"/>
      <c r="L24" s="986"/>
      <c r="M24" s="986"/>
      <c r="N24" s="986"/>
      <c r="O24" s="986"/>
      <c r="P24" s="986"/>
      <c r="Q24" s="986"/>
      <c r="R24" s="986"/>
      <c r="S24" s="986"/>
      <c r="T24" s="987"/>
    </row>
    <row r="25" spans="1:26" s="38" customFormat="1" ht="45" customHeight="1" x14ac:dyDescent="0.2">
      <c r="A25" s="993" t="s">
        <v>14</v>
      </c>
      <c r="B25" s="994"/>
      <c r="C25" s="994"/>
      <c r="D25" s="994"/>
      <c r="E25" s="994"/>
      <c r="F25" s="994"/>
      <c r="G25" s="994"/>
      <c r="H25" s="994"/>
      <c r="I25" s="52"/>
      <c r="J25" s="53"/>
      <c r="K25" s="48"/>
      <c r="L25" s="995" t="s">
        <v>75</v>
      </c>
      <c r="M25" s="996"/>
      <c r="N25" s="996"/>
      <c r="O25" s="996"/>
      <c r="P25" s="996"/>
      <c r="Q25" s="996"/>
      <c r="R25" s="996"/>
      <c r="S25" s="996"/>
      <c r="T25" s="997"/>
    </row>
    <row r="26" spans="1:26" s="59" customFormat="1" ht="60" customHeight="1" x14ac:dyDescent="0.2">
      <c r="A26" s="998" t="s">
        <v>69</v>
      </c>
      <c r="B26" s="999"/>
      <c r="C26" s="999"/>
      <c r="D26" s="999"/>
      <c r="E26" s="999"/>
      <c r="F26" s="1000">
        <f>TRUNC(((((1+F13/100+F14/100+F15/100)*(1+F16/100)*(1+F17/100))/(1-(F18/100+F19/100+F20/100)))-1)*100,2)</f>
        <v>25</v>
      </c>
      <c r="G26" s="1000"/>
      <c r="H26" s="1001"/>
      <c r="I26" s="1002" t="str">
        <f>IF(F26&lt;L26," Atenção",IF(F26&gt;R26,"Atenção","OK"))</f>
        <v>OK</v>
      </c>
      <c r="J26" s="1003"/>
      <c r="K26" s="58"/>
      <c r="L26" s="976">
        <f>CHOOSE(Plan4!$B$17,Plan4!O19,Plan4!O20,Plan4!O21,Plan4!O22,Plan4!O23,Plan4!O24)</f>
        <v>20.34</v>
      </c>
      <c r="M26" s="974"/>
      <c r="N26" s="974"/>
      <c r="O26" s="974">
        <f>CHOOSE(Plan4!$B$17,Plan4!Q19,Plan4!Q20,Plan4!Q21,Plan4!Q22,Plan4!Q23,Plan4!Q24)</f>
        <v>22.12</v>
      </c>
      <c r="P26" s="974"/>
      <c r="Q26" s="974"/>
      <c r="R26" s="974">
        <f>CHOOSE(Plan4!$B$17,Plan4!S19,Plan4!S20,Plan4!S21,Plan4!S22,Plan4!S23,Plan4!S24)</f>
        <v>25</v>
      </c>
      <c r="S26" s="974"/>
      <c r="T26" s="975"/>
    </row>
    <row r="27" spans="1:26" s="38" customFormat="1" ht="15" customHeight="1" x14ac:dyDescent="0.2">
      <c r="A27" s="985" t="str">
        <f>IF(I26&lt;&gt;"OK", "O valor de BDI sem a desoneração está fora da faixa admitida no Acórdão TCU Plenária 2622/2013.",".")</f>
        <v>.</v>
      </c>
      <c r="B27" s="986"/>
      <c r="C27" s="986"/>
      <c r="D27" s="986"/>
      <c r="E27" s="986"/>
      <c r="F27" s="986"/>
      <c r="G27" s="986"/>
      <c r="H27" s="986"/>
      <c r="I27" s="986"/>
      <c r="J27" s="986"/>
      <c r="K27" s="986"/>
      <c r="L27" s="986"/>
      <c r="M27" s="986"/>
      <c r="N27" s="986"/>
      <c r="O27" s="986"/>
      <c r="P27" s="986"/>
      <c r="Q27" s="986"/>
      <c r="R27" s="986"/>
      <c r="S27" s="986"/>
      <c r="T27" s="987"/>
    </row>
    <row r="28" spans="1:26" s="38" customFormat="1" ht="18" x14ac:dyDescent="0.2">
      <c r="A28" s="1013" t="s">
        <v>0</v>
      </c>
      <c r="B28" s="1014"/>
      <c r="C28" s="1014"/>
      <c r="D28" s="1014"/>
      <c r="E28" s="1014"/>
      <c r="F28" s="1014"/>
      <c r="G28" s="1014"/>
      <c r="H28" s="1014"/>
      <c r="I28" s="1014"/>
      <c r="J28" s="1014"/>
      <c r="K28" s="1014"/>
      <c r="L28" s="1014"/>
      <c r="M28" s="1014"/>
      <c r="N28" s="1014"/>
      <c r="O28" s="1014"/>
      <c r="P28" s="1014"/>
      <c r="Q28" s="1014"/>
      <c r="R28" s="1014"/>
      <c r="S28" s="1014"/>
      <c r="T28" s="1015"/>
    </row>
    <row r="29" spans="1:26" s="38" customFormat="1" ht="181.5" customHeight="1" x14ac:dyDescent="0.2">
      <c r="A29" s="1016" t="str">
        <f>"DECLARO que, de acordo com a legislação tributária do município de São Jerônimo, considerando a natureza da obra acima discriminada, para cálculo do valor de ISS a ser cobrado da empresa construtora, é aplicada a aliquota de "&amp;IF(F20="",0,F20)&amp;"% sobre o valor total da obra."&amp;""&amp;""&amp;"DECLARO que o percentual de encargos sociais utilizados no valor da mão-de-obra do orçamento são os encargos sociais praticados pelo SINAPI e/ou SICRO."&amp;""&amp;""&amp;"DECLARO que o orçamento da obra foi verificado com os custos nas duas possibilidades de CONTRIBUIÇÃO PREVIDENCIÁRIA e foi adotada a modalidade "&amp;IF(Plan4!B26=1,"COM DESONERAÇÃO"&amp;" por ser a mais adequada ao município "&amp;F5&amp;".",IF(Plan4!B26=2,"SEM DESONERAÇÃO","")&amp;" por ser a mais adequada ao município.")</f>
        <v>DECLARO que, de acordo com a legislação tributária do município de São Jerônimo, considerando a natureza da obra acima discriminada, para cálculo do valor de ISS a ser cobrado da empresa construtora, é aplicada a aliquota de 3% sobre o valor total da obra.DECLARO que o percentual de encargos sociais utilizados no valor da mão-de-obra do orçamento são os encargos sociais praticados pelo SINAPI e/ou SICRO.DECLARO que o orçamento da obra foi verificado com os custos nas duas possibilidades de CONTRIBUIÇÃO PREVIDENCIÁRIA e foi adotada a modalidade COM DESONERAÇÃO por ser a mais adequada ao município .</v>
      </c>
      <c r="B29" s="1017"/>
      <c r="C29" s="1017"/>
      <c r="D29" s="1017"/>
      <c r="E29" s="1017"/>
      <c r="F29" s="1017"/>
      <c r="G29" s="1017"/>
      <c r="H29" s="1017"/>
      <c r="I29" s="1017"/>
      <c r="J29" s="1017"/>
      <c r="K29" s="1017"/>
      <c r="L29" s="1017"/>
      <c r="M29" s="1017"/>
      <c r="N29" s="1017"/>
      <c r="O29" s="1017"/>
      <c r="P29" s="1017"/>
      <c r="Q29" s="1017"/>
      <c r="R29" s="1017"/>
      <c r="S29" s="1017"/>
      <c r="T29" s="1018"/>
    </row>
    <row r="30" spans="1:26" ht="15" customHeight="1" x14ac:dyDescent="0.2">
      <c r="A30" s="1019" t="e">
        <f>IF(OR(#REF!=FALSE,#REF!=FALSE,#REF!=FALSE),("Atenção - Não esqueça de preencher o(s) campo(s): -" &amp; IF(#REF!=FALSE," Nº DA ART/RRT -","") &amp; IF(#REF!=FALSE," DATA -","") &amp; IF(#REF!=FALSE," IDENTIFICAÇÃO DO RESPONSÁVEL TÉCNICO -","") &amp; ""),".")</f>
        <v>#REF!</v>
      </c>
      <c r="B30" s="1020"/>
      <c r="C30" s="1020"/>
      <c r="D30" s="1020"/>
      <c r="E30" s="1020"/>
      <c r="F30" s="1020"/>
      <c r="G30" s="1020"/>
      <c r="H30" s="1020"/>
      <c r="I30" s="1020"/>
      <c r="J30" s="1020"/>
      <c r="K30" s="1020"/>
      <c r="L30" s="1020"/>
      <c r="M30" s="1020"/>
      <c r="N30" s="1020"/>
      <c r="O30" s="1020"/>
      <c r="P30" s="1020"/>
      <c r="Q30" s="1020"/>
      <c r="R30" s="1020"/>
      <c r="S30" s="1020"/>
      <c r="T30" s="1021"/>
    </row>
    <row r="31" spans="1:26" s="57" customFormat="1" ht="30" customHeight="1" x14ac:dyDescent="0.2">
      <c r="A31" s="1004"/>
      <c r="B31" s="1005"/>
      <c r="C31" s="1005"/>
      <c r="D31" s="1005"/>
      <c r="E31" s="1005"/>
      <c r="F31" s="1005"/>
      <c r="G31" s="1005"/>
      <c r="H31" s="1005"/>
      <c r="I31" s="1006"/>
      <c r="J31" s="1007"/>
      <c r="K31" s="1007"/>
      <c r="L31" s="1007"/>
      <c r="M31" s="1007"/>
      <c r="N31" s="1007"/>
      <c r="O31" s="1007"/>
      <c r="P31" s="1007"/>
      <c r="Q31" s="1007"/>
      <c r="R31" s="1007"/>
      <c r="S31" s="1007"/>
      <c r="T31" s="1008"/>
    </row>
    <row r="32" spans="1:26" s="57" customFormat="1" ht="30" customHeight="1" x14ac:dyDescent="0.2">
      <c r="A32" s="1009"/>
      <c r="B32" s="1010"/>
      <c r="C32" s="1010"/>
      <c r="D32" s="1010"/>
      <c r="E32" s="1010"/>
      <c r="F32" s="1010"/>
      <c r="G32" s="1010"/>
      <c r="H32" s="1010"/>
      <c r="I32" s="1011" t="s">
        <v>79</v>
      </c>
      <c r="J32" s="1011"/>
      <c r="K32" s="1011"/>
      <c r="L32" s="1011"/>
      <c r="M32" s="1011"/>
      <c r="N32" s="1011"/>
      <c r="O32" s="1011"/>
      <c r="P32" s="1011"/>
      <c r="Q32" s="1011"/>
      <c r="R32" s="1011"/>
      <c r="S32" s="1011"/>
      <c r="T32" s="1012"/>
    </row>
    <row r="33" spans="1:20" s="57" customFormat="1" ht="30" customHeight="1" x14ac:dyDescent="0.2">
      <c r="A33" s="1023" t="s">
        <v>78</v>
      </c>
      <c r="B33" s="1024"/>
      <c r="C33" s="1024"/>
      <c r="D33" s="1024"/>
      <c r="E33" s="1024"/>
      <c r="F33" s="1024"/>
      <c r="G33" s="1024"/>
      <c r="H33" s="1024"/>
      <c r="I33" s="1025">
        <f>'ANEXO 01-ORÇAMENTO'!B360</f>
        <v>44634</v>
      </c>
      <c r="J33" s="1026"/>
      <c r="K33" s="1026"/>
      <c r="L33" s="1026"/>
      <c r="M33" s="1026"/>
      <c r="N33" s="1026"/>
      <c r="O33" s="1026"/>
      <c r="P33" s="1026"/>
      <c r="Q33" s="1026"/>
      <c r="R33" s="1026"/>
      <c r="S33" s="1026"/>
      <c r="T33" s="1027"/>
    </row>
    <row r="34" spans="1:20" s="57" customFormat="1" ht="30" customHeight="1" x14ac:dyDescent="0.2">
      <c r="A34" s="1028" t="s">
        <v>59</v>
      </c>
      <c r="B34" s="1029"/>
      <c r="C34" s="1029"/>
      <c r="D34" s="1029"/>
      <c r="E34" s="1029"/>
      <c r="F34" s="1029"/>
      <c r="G34" s="1029"/>
      <c r="H34" s="1029"/>
      <c r="I34" s="1029" t="s">
        <v>4</v>
      </c>
      <c r="J34" s="1029"/>
      <c r="K34" s="1029"/>
      <c r="L34" s="1029"/>
      <c r="M34" s="1029"/>
      <c r="N34" s="1029"/>
      <c r="O34" s="1029"/>
      <c r="P34" s="1029"/>
      <c r="Q34" s="1029"/>
      <c r="R34" s="1029"/>
      <c r="S34" s="1029"/>
      <c r="T34" s="1030"/>
    </row>
    <row r="35" spans="1:20" ht="399.95" customHeight="1" x14ac:dyDescent="0.2">
      <c r="A35" s="1022"/>
      <c r="B35" s="1022"/>
      <c r="C35" s="1022"/>
      <c r="D35" s="1022"/>
      <c r="E35" s="1022"/>
      <c r="F35" s="1022"/>
      <c r="G35" s="1022"/>
      <c r="H35" s="1022"/>
      <c r="I35" s="1022"/>
      <c r="J35" s="1022"/>
      <c r="K35" s="1022"/>
      <c r="L35" s="1022"/>
      <c r="M35" s="1022"/>
      <c r="N35" s="1022"/>
      <c r="O35" s="1022"/>
      <c r="P35" s="1022"/>
      <c r="Q35" s="1022"/>
      <c r="R35" s="1022"/>
      <c r="S35" s="1022"/>
      <c r="T35" s="1022"/>
    </row>
    <row r="36" spans="1:20" s="38" customFormat="1" ht="14.25" customHeight="1" x14ac:dyDescent="0.2"/>
    <row r="37" spans="1:20" s="38" customFormat="1" x14ac:dyDescent="0.2"/>
    <row r="38" spans="1:20" s="38" customFormat="1" x14ac:dyDescent="0.2"/>
    <row r="39" spans="1:20" s="38" customFormat="1" x14ac:dyDescent="0.2"/>
    <row r="40" spans="1:20" s="38" customFormat="1" x14ac:dyDescent="0.2"/>
    <row r="41" spans="1:20" s="38" customFormat="1" x14ac:dyDescent="0.2"/>
    <row r="42" spans="1:20" s="38" customFormat="1" x14ac:dyDescent="0.2"/>
    <row r="43" spans="1:20" s="38" customFormat="1" x14ac:dyDescent="0.2"/>
    <row r="44" spans="1:20" s="38" customFormat="1" x14ac:dyDescent="0.2"/>
    <row r="45" spans="1:20" s="38" customFormat="1" x14ac:dyDescent="0.2"/>
    <row r="46" spans="1:20" s="38" customFormat="1" ht="12.75" customHeight="1" x14ac:dyDescent="0.2"/>
    <row r="47" spans="1:20" s="38" customFormat="1" x14ac:dyDescent="0.2"/>
    <row r="48" spans="1:20" s="38" customFormat="1" x14ac:dyDescent="0.2"/>
    <row r="49" s="38" customFormat="1" x14ac:dyDescent="0.2"/>
    <row r="50" s="38" customFormat="1" x14ac:dyDescent="0.2"/>
    <row r="51" s="38" customFormat="1" x14ac:dyDescent="0.2"/>
    <row r="52" s="38" customFormat="1" x14ac:dyDescent="0.2"/>
    <row r="53" s="38" customFormat="1" x14ac:dyDescent="0.2"/>
    <row r="54" s="38" customFormat="1" x14ac:dyDescent="0.2"/>
    <row r="55" s="38" customFormat="1" x14ac:dyDescent="0.2"/>
    <row r="56" s="38" customFormat="1" x14ac:dyDescent="0.2"/>
    <row r="57" s="38" customFormat="1" x14ac:dyDescent="0.2"/>
    <row r="58" s="38" customFormat="1" x14ac:dyDescent="0.2"/>
    <row r="59" s="38" customFormat="1" x14ac:dyDescent="0.2"/>
    <row r="60" s="38" customFormat="1" x14ac:dyDescent="0.2"/>
    <row r="61" s="38" customFormat="1" x14ac:dyDescent="0.2"/>
    <row r="62" s="38" customFormat="1" x14ac:dyDescent="0.2"/>
    <row r="63" s="38" customFormat="1" x14ac:dyDescent="0.2"/>
    <row r="64" s="38" customFormat="1" x14ac:dyDescent="0.2"/>
    <row r="65" s="38" customFormat="1" x14ac:dyDescent="0.2"/>
    <row r="66" s="38" customFormat="1" x14ac:dyDescent="0.2"/>
    <row r="67" s="38" customFormat="1" x14ac:dyDescent="0.2"/>
    <row r="68" s="38" customFormat="1" x14ac:dyDescent="0.2"/>
    <row r="69" s="38" customFormat="1" x14ac:dyDescent="0.2"/>
    <row r="70" s="38" customFormat="1" x14ac:dyDescent="0.2"/>
    <row r="71" s="38" customFormat="1" x14ac:dyDescent="0.2"/>
    <row r="72" s="38" customFormat="1" x14ac:dyDescent="0.2"/>
    <row r="73" s="38" customFormat="1" x14ac:dyDescent="0.2"/>
    <row r="74" s="38" customFormat="1" x14ac:dyDescent="0.2"/>
    <row r="75" s="38" customFormat="1" x14ac:dyDescent="0.2"/>
    <row r="76" s="38" customFormat="1" x14ac:dyDescent="0.2"/>
    <row r="77" s="38" customFormat="1" x14ac:dyDescent="0.2"/>
    <row r="78" s="38" customFormat="1" x14ac:dyDescent="0.2"/>
    <row r="79" s="38" customFormat="1" x14ac:dyDescent="0.2"/>
  </sheetData>
  <mergeCells count="89">
    <mergeCell ref="A35:T35"/>
    <mergeCell ref="A33:H33"/>
    <mergeCell ref="I33:T33"/>
    <mergeCell ref="A34:H34"/>
    <mergeCell ref="I34:T34"/>
    <mergeCell ref="A31:H31"/>
    <mergeCell ref="I31:T31"/>
    <mergeCell ref="A32:H32"/>
    <mergeCell ref="I32:T32"/>
    <mergeCell ref="A27:T27"/>
    <mergeCell ref="A28:T28"/>
    <mergeCell ref="A29:T29"/>
    <mergeCell ref="A30:T30"/>
    <mergeCell ref="A25:H25"/>
    <mergeCell ref="L25:T25"/>
    <mergeCell ref="A26:E26"/>
    <mergeCell ref="F26:H26"/>
    <mergeCell ref="I26:J26"/>
    <mergeCell ref="L26:N26"/>
    <mergeCell ref="O26:Q26"/>
    <mergeCell ref="R26:T26"/>
    <mergeCell ref="R21:T21"/>
    <mergeCell ref="A22:E22"/>
    <mergeCell ref="F22:H22"/>
    <mergeCell ref="A24:T24"/>
    <mergeCell ref="A21:E21"/>
    <mergeCell ref="F21:H21"/>
    <mergeCell ref="L21:N21"/>
    <mergeCell ref="O21:Q21"/>
    <mergeCell ref="O20:Q20"/>
    <mergeCell ref="R20:T20"/>
    <mergeCell ref="A19:E19"/>
    <mergeCell ref="F19:H19"/>
    <mergeCell ref="A20:E20"/>
    <mergeCell ref="F20:H20"/>
    <mergeCell ref="I20:J20"/>
    <mergeCell ref="L20:N20"/>
    <mergeCell ref="I19:J19"/>
    <mergeCell ref="L19:N19"/>
    <mergeCell ref="O17:Q17"/>
    <mergeCell ref="R17:T17"/>
    <mergeCell ref="O18:Q18"/>
    <mergeCell ref="R18:T18"/>
    <mergeCell ref="O19:Q19"/>
    <mergeCell ref="R19:T19"/>
    <mergeCell ref="A18:E18"/>
    <mergeCell ref="F18:H18"/>
    <mergeCell ref="I18:J18"/>
    <mergeCell ref="L18:N18"/>
    <mergeCell ref="A17:E17"/>
    <mergeCell ref="F17:H17"/>
    <mergeCell ref="I17:J17"/>
    <mergeCell ref="L17:N17"/>
    <mergeCell ref="O16:Q16"/>
    <mergeCell ref="R16:T16"/>
    <mergeCell ref="A15:E15"/>
    <mergeCell ref="F15:H15"/>
    <mergeCell ref="A16:E16"/>
    <mergeCell ref="F16:H16"/>
    <mergeCell ref="I16:J16"/>
    <mergeCell ref="L16:N16"/>
    <mergeCell ref="I15:J15"/>
    <mergeCell ref="L15:N15"/>
    <mergeCell ref="O13:Q13"/>
    <mergeCell ref="R13:T13"/>
    <mergeCell ref="O14:Q14"/>
    <mergeCell ref="R14:T14"/>
    <mergeCell ref="O15:Q15"/>
    <mergeCell ref="R15:T15"/>
    <mergeCell ref="A14:E14"/>
    <mergeCell ref="F14:H14"/>
    <mergeCell ref="I14:J14"/>
    <mergeCell ref="L14:N14"/>
    <mergeCell ref="A13:E13"/>
    <mergeCell ref="F13:H13"/>
    <mergeCell ref="I13:J13"/>
    <mergeCell ref="L13:N13"/>
    <mergeCell ref="A10:E10"/>
    <mergeCell ref="A11:E12"/>
    <mergeCell ref="F11:H12"/>
    <mergeCell ref="L11:T11"/>
    <mergeCell ref="L12:N12"/>
    <mergeCell ref="O12:Q12"/>
    <mergeCell ref="R12:T12"/>
    <mergeCell ref="A6:T6"/>
    <mergeCell ref="A7:T7"/>
    <mergeCell ref="A8:T8"/>
    <mergeCell ref="A5:T5"/>
    <mergeCell ref="A9:E9"/>
  </mergeCells>
  <phoneticPr fontId="2" type="noConversion"/>
  <conditionalFormatting sqref="A33:T33 F13:H20">
    <cfRule type="cellIs" dxfId="22" priority="2" stopIfTrue="1" operator="equal">
      <formula>0</formula>
    </cfRule>
  </conditionalFormatting>
  <conditionalFormatting sqref="I26:J26 I13:I20">
    <cfRule type="cellIs" dxfId="21" priority="3" stopIfTrue="1" operator="notEqual">
      <formula>"OK"</formula>
    </cfRule>
  </conditionalFormatting>
  <conditionalFormatting sqref="A24:T24 A27:T27">
    <cfRule type="cellIs" dxfId="20" priority="5" stopIfTrue="1" operator="notEqual">
      <formula>"."</formula>
    </cfRule>
  </conditionalFormatting>
  <conditionalFormatting sqref="A30:T30">
    <cfRule type="cellIs" dxfId="19" priority="6" stopIfTrue="1" operator="notEqual">
      <formula>"."</formula>
    </cfRule>
  </conditionalFormatting>
  <conditionalFormatting sqref="I31:T31">
    <cfRule type="cellIs" dxfId="18" priority="1" stopIfTrue="1" operator="equal">
      <formula>0</formula>
    </cfRule>
  </conditionalFormatting>
  <pageMargins left="0.78740157480314965" right="0.39370078740157483" top="0.39370078740157483" bottom="0.39370078740157483" header="0.19685039370078741" footer="0.19685039370078741"/>
  <pageSetup paperSize="9" scale="65" orientation="portrait" r:id="rId1"/>
  <headerFooter>
    <oddHeader>&amp;RPágina &amp;P de &amp;N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-down 1">
              <controlPr defaultSize="0" autoLine="0" autoPict="0">
                <anchor moveWithCells="1">
                  <from>
                    <xdr:col>5</xdr:col>
                    <xdr:colOff>9525</xdr:colOff>
                    <xdr:row>8</xdr:row>
                    <xdr:rowOff>19050</xdr:rowOff>
                  </from>
                  <to>
                    <xdr:col>20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Drop-down 3">
              <controlPr defaultSize="0" autoLine="0" autoPict="0">
                <anchor moveWithCells="1">
                  <from>
                    <xdr:col>5</xdr:col>
                    <xdr:colOff>9525</xdr:colOff>
                    <xdr:row>9</xdr:row>
                    <xdr:rowOff>0</xdr:rowOff>
                  </from>
                  <to>
                    <xdr:col>20</xdr:col>
                    <xdr:colOff>0</xdr:colOff>
                    <xdr:row>9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3"/>
  <sheetViews>
    <sheetView view="pageBreakPreview" topLeftCell="A53" zoomScale="75" zoomScaleNormal="100" zoomScaleSheetLayoutView="75" workbookViewId="0">
      <selection activeCell="M1" sqref="A1:M80"/>
    </sheetView>
  </sheetViews>
  <sheetFormatPr defaultColWidth="8.85546875" defaultRowHeight="15" x14ac:dyDescent="0.2"/>
  <cols>
    <col min="1" max="1" width="14.85546875" style="29" customWidth="1"/>
    <col min="2" max="2" width="51.85546875" style="32" customWidth="1"/>
    <col min="3" max="3" width="18.85546875" style="79" customWidth="1"/>
    <col min="4" max="4" width="9.7109375" style="25" customWidth="1"/>
    <col min="5" max="5" width="16.42578125" style="25" customWidth="1"/>
    <col min="6" max="6" width="16.28515625" style="33" customWidth="1"/>
    <col min="7" max="7" width="16" style="33" customWidth="1"/>
    <col min="8" max="8" width="17.7109375" style="33" customWidth="1"/>
    <col min="9" max="9" width="16.85546875" style="33" customWidth="1"/>
    <col min="10" max="10" width="17.140625" style="33" customWidth="1"/>
    <col min="11" max="11" width="17" style="33" customWidth="1"/>
    <col min="12" max="12" width="16.7109375" style="33" customWidth="1"/>
    <col min="13" max="13" width="18.85546875" style="33" customWidth="1"/>
    <col min="14" max="14" width="27.5703125" style="33" customWidth="1"/>
    <col min="15" max="15" width="10.42578125" style="81" customWidth="1"/>
    <col min="16" max="17" width="8.85546875" style="25"/>
    <col min="18" max="18" width="16.85546875" style="25" bestFit="1" customWidth="1"/>
    <col min="19" max="16384" width="8.85546875" style="25"/>
  </cols>
  <sheetData>
    <row r="1" spans="1:15" ht="80.099999999999994" customHeight="1" x14ac:dyDescent="0.2">
      <c r="A1" s="28"/>
      <c r="B1" s="30"/>
      <c r="C1" s="78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80"/>
    </row>
    <row r="2" spans="1:15" ht="18" x14ac:dyDescent="0.2">
      <c r="A2" s="791" t="s">
        <v>58</v>
      </c>
      <c r="B2" s="792"/>
      <c r="C2" s="793"/>
      <c r="D2" s="794"/>
      <c r="E2" s="795"/>
      <c r="F2" s="795"/>
      <c r="G2" s="795"/>
      <c r="H2" s="795"/>
      <c r="I2" s="795"/>
      <c r="J2" s="796"/>
      <c r="K2" s="796"/>
      <c r="L2" s="790"/>
      <c r="M2" s="790"/>
      <c r="N2" s="35"/>
      <c r="O2" s="25"/>
    </row>
    <row r="3" spans="1:15" ht="18" x14ac:dyDescent="0.2">
      <c r="A3" s="461" t="s">
        <v>72</v>
      </c>
      <c r="B3" s="462"/>
      <c r="C3" s="463"/>
      <c r="D3" s="464"/>
      <c r="E3" s="465"/>
      <c r="F3" s="465"/>
      <c r="G3" s="465"/>
      <c r="H3" s="465"/>
      <c r="I3" s="465"/>
      <c r="J3" s="466"/>
      <c r="K3" s="466"/>
      <c r="L3" s="788"/>
      <c r="M3" s="788"/>
      <c r="N3" s="305"/>
      <c r="O3" s="25"/>
    </row>
    <row r="4" spans="1:15" ht="5.0999999999999996" customHeight="1" x14ac:dyDescent="0.2">
      <c r="A4" s="467"/>
      <c r="B4" s="462"/>
      <c r="C4" s="463"/>
      <c r="D4" s="468"/>
      <c r="E4" s="468"/>
      <c r="F4" s="469"/>
      <c r="G4" s="469"/>
      <c r="H4" s="469"/>
      <c r="I4" s="469"/>
      <c r="J4" s="466"/>
      <c r="K4" s="466"/>
      <c r="L4" s="788"/>
      <c r="M4" s="788"/>
      <c r="N4" s="306"/>
      <c r="O4" s="25"/>
    </row>
    <row r="5" spans="1:15" ht="15" customHeight="1" x14ac:dyDescent="0.2">
      <c r="A5" s="470" t="str">
        <f>'ANEXO 01-ORÇAMENTO'!A5:C5</f>
        <v>SOLICITANTE: SECRETARIA MUNICIPAL DE EDUCAÇÃO</v>
      </c>
      <c r="B5" s="462"/>
      <c r="C5" s="463"/>
      <c r="D5" s="468"/>
      <c r="E5" s="471"/>
      <c r="F5" s="469"/>
      <c r="G5" s="469"/>
      <c r="H5" s="469"/>
      <c r="I5" s="469"/>
      <c r="J5" s="466"/>
      <c r="K5" s="466"/>
      <c r="L5" s="788"/>
      <c r="M5" s="788"/>
      <c r="N5" s="36"/>
      <c r="O5" s="25"/>
    </row>
    <row r="6" spans="1:15" ht="15" customHeight="1" x14ac:dyDescent="0.2">
      <c r="A6" s="1035" t="str">
        <f>'ANEXO 01-ORÇAMENTO'!A6:H6</f>
        <v>OBJETO: E.M.E.F. JOÃO CERNICCHIARO</v>
      </c>
      <c r="B6" s="1036"/>
      <c r="C6" s="1036"/>
      <c r="D6" s="1036"/>
      <c r="E6" s="1036"/>
      <c r="F6" s="472"/>
      <c r="G6" s="472"/>
      <c r="H6" s="473"/>
      <c r="I6" s="473"/>
      <c r="J6" s="466"/>
      <c r="K6" s="466"/>
      <c r="L6" s="788"/>
      <c r="M6" s="788"/>
      <c r="N6" s="36"/>
      <c r="O6" s="25"/>
    </row>
    <row r="7" spans="1:15" ht="15" customHeight="1" x14ac:dyDescent="0.2">
      <c r="A7" s="474" t="str">
        <f>'ANEXO 01-ORÇAMENTO'!A7:H7</f>
        <v>LOCAL DA OBRA: Professora Nair, Lago de Oliveira</v>
      </c>
      <c r="B7" s="475"/>
      <c r="C7" s="463"/>
      <c r="D7" s="468"/>
      <c r="E7" s="468"/>
      <c r="F7" s="469"/>
      <c r="G7" s="469"/>
      <c r="H7" s="469"/>
      <c r="I7" s="469"/>
      <c r="J7" s="466"/>
      <c r="K7" s="466"/>
      <c r="L7" s="788"/>
      <c r="M7" s="788"/>
      <c r="N7" s="36"/>
      <c r="O7" s="25"/>
    </row>
    <row r="8" spans="1:15" ht="15" customHeight="1" thickBot="1" x14ac:dyDescent="0.25">
      <c r="A8" s="476" t="str">
        <f>'ANEXO 01-ORÇAMENTO'!A14:H14</f>
        <v>RRT/CAU  do responsável técnico GILBERTO PRADELLA-CAU-RS A14.344-8</v>
      </c>
      <c r="B8" s="477"/>
      <c r="C8" s="478"/>
      <c r="D8" s="479"/>
      <c r="E8" s="479"/>
      <c r="F8" s="480"/>
      <c r="G8" s="480"/>
      <c r="H8" s="480"/>
      <c r="I8" s="480"/>
      <c r="J8" s="481"/>
      <c r="K8" s="481"/>
      <c r="L8" s="789"/>
      <c r="M8" s="789"/>
      <c r="N8" s="36"/>
      <c r="O8" s="25"/>
    </row>
    <row r="9" spans="1:15" s="35" customFormat="1" ht="13.5" thickBot="1" x14ac:dyDescent="0.25">
      <c r="A9" s="322" t="s">
        <v>327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797"/>
      <c r="M9" s="798"/>
      <c r="N9" s="36"/>
    </row>
    <row r="10" spans="1:15" s="305" customFormat="1" ht="13.5" thickBot="1" x14ac:dyDescent="0.25">
      <c r="A10" s="314"/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6"/>
      <c r="N10" s="36"/>
    </row>
    <row r="11" spans="1:15" s="36" customFormat="1" ht="13.5" thickBot="1" x14ac:dyDescent="0.25">
      <c r="A11" s="483" t="s">
        <v>45</v>
      </c>
      <c r="B11" s="484" t="s">
        <v>328</v>
      </c>
      <c r="C11" s="484" t="s">
        <v>569</v>
      </c>
      <c r="D11" s="484" t="s">
        <v>329</v>
      </c>
      <c r="E11" s="484" t="s">
        <v>330</v>
      </c>
      <c r="F11" s="484" t="s">
        <v>331</v>
      </c>
      <c r="G11" s="484" t="s">
        <v>332</v>
      </c>
      <c r="H11" s="484" t="s">
        <v>333</v>
      </c>
      <c r="I11" s="484" t="s">
        <v>334</v>
      </c>
      <c r="J11" s="484" t="s">
        <v>335</v>
      </c>
      <c r="K11" s="484" t="s">
        <v>357</v>
      </c>
      <c r="L11" s="484" t="s">
        <v>358</v>
      </c>
      <c r="M11" s="484" t="s">
        <v>56</v>
      </c>
    </row>
    <row r="12" spans="1:15" s="36" customFormat="1" ht="12.75" x14ac:dyDescent="0.2">
      <c r="A12" s="315"/>
      <c r="B12" s="316"/>
      <c r="C12" s="411"/>
      <c r="D12" s="411"/>
      <c r="E12" s="317"/>
      <c r="F12" s="317"/>
      <c r="G12" s="317"/>
      <c r="H12" s="317"/>
      <c r="I12" s="317"/>
      <c r="J12" s="317"/>
      <c r="K12" s="318"/>
      <c r="L12" s="317"/>
      <c r="M12" s="318"/>
    </row>
    <row r="13" spans="1:15" s="834" customFormat="1" ht="12.75" x14ac:dyDescent="0.2">
      <c r="A13" s="830">
        <v>1</v>
      </c>
      <c r="B13" s="487" t="s">
        <v>356</v>
      </c>
      <c r="C13" s="808">
        <v>63319.71</v>
      </c>
      <c r="D13" s="831">
        <f>C13/C$62</f>
        <v>9.0800000000000006E-2</v>
      </c>
      <c r="E13" s="802">
        <f>E15+E16</f>
        <v>54981.05</v>
      </c>
      <c r="F13" s="802">
        <f>F15+F16</f>
        <v>6165.35</v>
      </c>
      <c r="G13" s="817"/>
      <c r="H13" s="817"/>
      <c r="I13" s="817">
        <v>1073.31</v>
      </c>
      <c r="J13" s="817"/>
      <c r="K13" s="823">
        <v>1100</v>
      </c>
      <c r="L13" s="820"/>
      <c r="M13" s="832">
        <f>SUM(E13:L13)</f>
        <v>63319.71</v>
      </c>
      <c r="N13" s="833"/>
    </row>
    <row r="14" spans="1:15" s="34" customFormat="1" ht="12.75" x14ac:dyDescent="0.2">
      <c r="A14" s="415"/>
      <c r="B14" s="781" t="s">
        <v>565</v>
      </c>
      <c r="C14" s="809">
        <v>2173.31</v>
      </c>
      <c r="D14" s="412"/>
      <c r="E14" s="800"/>
      <c r="F14" s="816"/>
      <c r="G14" s="801"/>
      <c r="H14" s="801"/>
      <c r="I14" s="801">
        <v>1073.31</v>
      </c>
      <c r="J14" s="801"/>
      <c r="K14" s="819">
        <v>1100</v>
      </c>
      <c r="L14" s="822"/>
      <c r="M14" s="821">
        <v>2173.31</v>
      </c>
      <c r="N14" s="36"/>
    </row>
    <row r="15" spans="1:15" s="34" customFormat="1" ht="12.75" x14ac:dyDescent="0.2">
      <c r="A15" s="415"/>
      <c r="B15" s="781" t="s">
        <v>566</v>
      </c>
      <c r="C15" s="809">
        <v>6180.5</v>
      </c>
      <c r="D15" s="412"/>
      <c r="E15" s="800">
        <v>4981.05</v>
      </c>
      <c r="F15" s="816">
        <v>1199.45</v>
      </c>
      <c r="G15" s="801"/>
      <c r="H15" s="801"/>
      <c r="I15" s="801"/>
      <c r="J15" s="801"/>
      <c r="K15" s="819"/>
      <c r="L15" s="822"/>
      <c r="M15" s="821">
        <v>6180.5</v>
      </c>
    </row>
    <row r="16" spans="1:15" s="305" customFormat="1" ht="12.75" x14ac:dyDescent="0.2">
      <c r="A16" s="415"/>
      <c r="B16" s="321" t="s">
        <v>567</v>
      </c>
      <c r="C16" s="810">
        <v>54965.9</v>
      </c>
      <c r="D16" s="413"/>
      <c r="E16" s="801">
        <v>50000</v>
      </c>
      <c r="F16" s="801">
        <v>4965.8999999999996</v>
      </c>
      <c r="G16" s="801"/>
      <c r="H16" s="801"/>
      <c r="I16" s="801"/>
      <c r="J16" s="801"/>
      <c r="K16" s="819"/>
      <c r="L16" s="801"/>
      <c r="M16" s="819">
        <v>54965.9</v>
      </c>
      <c r="N16" s="34"/>
    </row>
    <row r="17" spans="1:14" s="305" customFormat="1" ht="12.75" x14ac:dyDescent="0.2">
      <c r="A17" s="415"/>
      <c r="B17" s="321"/>
      <c r="C17" s="811"/>
      <c r="D17" s="413"/>
      <c r="E17" s="801"/>
      <c r="F17" s="799"/>
      <c r="G17" s="801"/>
      <c r="H17" s="801"/>
      <c r="I17" s="801"/>
      <c r="J17" s="801"/>
      <c r="K17" s="819"/>
      <c r="L17" s="801"/>
      <c r="M17" s="819"/>
      <c r="N17" s="785"/>
    </row>
    <row r="18" spans="1:14" s="833" customFormat="1" ht="12.75" x14ac:dyDescent="0.2">
      <c r="A18" s="830">
        <v>2</v>
      </c>
      <c r="B18" s="486" t="s">
        <v>337</v>
      </c>
      <c r="C18" s="808">
        <v>114481.61</v>
      </c>
      <c r="D18" s="835">
        <f>C18/C$62</f>
        <v>0.1641</v>
      </c>
      <c r="E18" s="802">
        <f>E20+E21</f>
        <v>15000</v>
      </c>
      <c r="F18" s="802">
        <f>F20+F21</f>
        <v>46594.25</v>
      </c>
      <c r="G18" s="802">
        <f>G20+G21</f>
        <v>12268.52</v>
      </c>
      <c r="H18" s="817"/>
      <c r="I18" s="817">
        <v>20309.419999999998</v>
      </c>
      <c r="J18" s="817"/>
      <c r="K18" s="817">
        <v>20309.419999999998</v>
      </c>
      <c r="L18" s="817"/>
      <c r="M18" s="823">
        <f>SUM(E18:L18)</f>
        <v>114481.61</v>
      </c>
      <c r="N18" s="834"/>
    </row>
    <row r="19" spans="1:14" s="36" customFormat="1" ht="12.75" x14ac:dyDescent="0.2">
      <c r="A19" s="415"/>
      <c r="B19" s="782" t="s">
        <v>565</v>
      </c>
      <c r="C19" s="810">
        <v>40618.839999999997</v>
      </c>
      <c r="D19" s="414"/>
      <c r="E19" s="800"/>
      <c r="F19" s="800"/>
      <c r="G19" s="816"/>
      <c r="H19" s="801"/>
      <c r="I19" s="818">
        <v>20309.419999999998</v>
      </c>
      <c r="J19" s="801"/>
      <c r="K19" s="818">
        <v>20309.419999999998</v>
      </c>
      <c r="L19" s="801"/>
      <c r="M19" s="810">
        <v>40618.839999999997</v>
      </c>
      <c r="N19" s="785"/>
    </row>
    <row r="20" spans="1:14" s="36" customFormat="1" ht="12.75" x14ac:dyDescent="0.2">
      <c r="A20" s="415"/>
      <c r="B20" s="782" t="s">
        <v>568</v>
      </c>
      <c r="C20" s="810">
        <v>11346.57</v>
      </c>
      <c r="D20" s="414"/>
      <c r="E20" s="800">
        <v>3000</v>
      </c>
      <c r="F20" s="800">
        <v>4594.25</v>
      </c>
      <c r="G20" s="816">
        <v>3752.32</v>
      </c>
      <c r="H20" s="801"/>
      <c r="I20" s="818"/>
      <c r="J20" s="801"/>
      <c r="K20" s="824"/>
      <c r="L20" s="801"/>
      <c r="M20" s="810">
        <v>11346.57</v>
      </c>
    </row>
    <row r="21" spans="1:14" s="36" customFormat="1" ht="12.75" x14ac:dyDescent="0.2">
      <c r="A21" s="415"/>
      <c r="B21" s="782" t="s">
        <v>567</v>
      </c>
      <c r="C21" s="810">
        <v>62516.2</v>
      </c>
      <c r="D21" s="414"/>
      <c r="E21" s="800">
        <v>12000</v>
      </c>
      <c r="F21" s="800">
        <v>42000</v>
      </c>
      <c r="G21" s="816">
        <v>8516.2000000000007</v>
      </c>
      <c r="H21" s="801"/>
      <c r="I21" s="818"/>
      <c r="J21" s="801"/>
      <c r="K21" s="824"/>
      <c r="L21" s="801"/>
      <c r="M21" s="810">
        <v>62516.2</v>
      </c>
    </row>
    <row r="22" spans="1:14" s="36" customFormat="1" ht="12.75" x14ac:dyDescent="0.2">
      <c r="A22" s="415"/>
      <c r="B22" s="321"/>
      <c r="C22" s="811"/>
      <c r="D22" s="413"/>
      <c r="E22" s="799"/>
      <c r="F22" s="799"/>
      <c r="G22" s="801"/>
      <c r="H22" s="801"/>
      <c r="I22" s="801"/>
      <c r="J22" s="801"/>
      <c r="K22" s="819"/>
      <c r="L22" s="801"/>
      <c r="M22" s="819"/>
      <c r="N22" s="306"/>
    </row>
    <row r="23" spans="1:14" s="833" customFormat="1" ht="12.75" x14ac:dyDescent="0.2">
      <c r="A23" s="830">
        <v>3</v>
      </c>
      <c r="B23" s="486" t="s">
        <v>336</v>
      </c>
      <c r="C23" s="808">
        <v>30465.54</v>
      </c>
      <c r="D23" s="831">
        <f>C23/C$62</f>
        <v>4.3700000000000003E-2</v>
      </c>
      <c r="E23" s="803"/>
      <c r="F23" s="803"/>
      <c r="G23" s="802"/>
      <c r="H23" s="817">
        <f>H26+H25</f>
        <v>23844.49</v>
      </c>
      <c r="I23" s="817"/>
      <c r="J23" s="817">
        <v>3550</v>
      </c>
      <c r="K23" s="823"/>
      <c r="L23" s="817">
        <v>3071.05</v>
      </c>
      <c r="M23" s="823">
        <f>SUM(E23:L23)</f>
        <v>30465.54</v>
      </c>
    </row>
    <row r="24" spans="1:14" s="306" customFormat="1" ht="12.75" x14ac:dyDescent="0.2">
      <c r="A24" s="783"/>
      <c r="B24" s="782" t="s">
        <v>565</v>
      </c>
      <c r="C24" s="810">
        <v>6621.05</v>
      </c>
      <c r="D24" s="784"/>
      <c r="E24" s="814"/>
      <c r="F24" s="814"/>
      <c r="G24" s="800"/>
      <c r="H24" s="818"/>
      <c r="I24" s="818"/>
      <c r="J24" s="818">
        <v>3550</v>
      </c>
      <c r="K24" s="824"/>
      <c r="L24" s="818">
        <v>3071.05</v>
      </c>
      <c r="M24" s="810">
        <v>6621.05</v>
      </c>
    </row>
    <row r="25" spans="1:14" s="306" customFormat="1" ht="12.75" x14ac:dyDescent="0.2">
      <c r="A25" s="783"/>
      <c r="B25" s="782" t="s">
        <v>568</v>
      </c>
      <c r="C25" s="810">
        <v>1925.8</v>
      </c>
      <c r="D25" s="784"/>
      <c r="E25" s="814"/>
      <c r="F25" s="814"/>
      <c r="G25" s="800"/>
      <c r="H25" s="800">
        <v>1925.8</v>
      </c>
      <c r="I25" s="818"/>
      <c r="J25" s="818"/>
      <c r="K25" s="824"/>
      <c r="L25" s="818"/>
      <c r="M25" s="810">
        <v>1925.8</v>
      </c>
      <c r="N25" s="36"/>
    </row>
    <row r="26" spans="1:14" s="306" customFormat="1" ht="12.75" x14ac:dyDescent="0.2">
      <c r="A26" s="783"/>
      <c r="B26" s="782" t="s">
        <v>567</v>
      </c>
      <c r="C26" s="810">
        <v>21918.69</v>
      </c>
      <c r="D26" s="784"/>
      <c r="E26" s="814"/>
      <c r="F26" s="814"/>
      <c r="G26" s="800"/>
      <c r="H26" s="818">
        <v>21918.69</v>
      </c>
      <c r="I26" s="818"/>
      <c r="J26" s="818"/>
      <c r="K26" s="824"/>
      <c r="L26" s="818"/>
      <c r="M26" s="810">
        <v>21918.69</v>
      </c>
      <c r="N26" s="36"/>
    </row>
    <row r="27" spans="1:14" s="306" customFormat="1" ht="12.75" x14ac:dyDescent="0.2">
      <c r="A27" s="415"/>
      <c r="B27" s="321"/>
      <c r="C27" s="811"/>
      <c r="D27" s="413"/>
      <c r="E27" s="799"/>
      <c r="F27" s="799"/>
      <c r="G27" s="801"/>
      <c r="H27" s="801"/>
      <c r="I27" s="801"/>
      <c r="J27" s="801"/>
      <c r="K27" s="819"/>
      <c r="L27" s="801"/>
      <c r="M27" s="819"/>
      <c r="N27" s="36"/>
    </row>
    <row r="28" spans="1:14" s="833" customFormat="1" ht="12.75" x14ac:dyDescent="0.2">
      <c r="A28" s="830">
        <v>4</v>
      </c>
      <c r="B28" s="486" t="s">
        <v>80</v>
      </c>
      <c r="C28" s="808">
        <v>294650.90999999997</v>
      </c>
      <c r="D28" s="836">
        <f>C28/C$62</f>
        <v>0.42230000000000001</v>
      </c>
      <c r="E28" s="806"/>
      <c r="F28" s="803">
        <v>13000</v>
      </c>
      <c r="G28" s="802">
        <f>G30+G31</f>
        <v>76210.5</v>
      </c>
      <c r="H28" s="802"/>
      <c r="I28" s="802">
        <v>81500</v>
      </c>
      <c r="J28" s="802">
        <v>21000</v>
      </c>
      <c r="K28" s="825">
        <v>81500</v>
      </c>
      <c r="L28" s="802">
        <v>21440.41</v>
      </c>
      <c r="M28" s="825">
        <f>SUM(E28:L28)</f>
        <v>294650.90999999997</v>
      </c>
    </row>
    <row r="29" spans="1:14" s="306" customFormat="1" ht="12.75" x14ac:dyDescent="0.2">
      <c r="A29" s="783"/>
      <c r="B29" s="782" t="s">
        <v>565</v>
      </c>
      <c r="C29" s="810">
        <v>205440.41</v>
      </c>
      <c r="D29" s="786"/>
      <c r="E29" s="807"/>
      <c r="F29" s="814"/>
      <c r="G29" s="800"/>
      <c r="H29" s="800"/>
      <c r="I29" s="800">
        <v>81500</v>
      </c>
      <c r="J29" s="800">
        <v>21000</v>
      </c>
      <c r="K29" s="827">
        <v>81500</v>
      </c>
      <c r="L29" s="800">
        <v>21440.41</v>
      </c>
      <c r="M29" s="810">
        <v>205183.27</v>
      </c>
      <c r="N29" s="36"/>
    </row>
    <row r="30" spans="1:14" s="306" customFormat="1" ht="12.75" x14ac:dyDescent="0.2">
      <c r="A30" s="783"/>
      <c r="B30" s="782" t="s">
        <v>568</v>
      </c>
      <c r="C30" s="810">
        <v>15787.89</v>
      </c>
      <c r="D30" s="786"/>
      <c r="E30" s="807"/>
      <c r="F30" s="814"/>
      <c r="G30" s="800">
        <v>15787.89</v>
      </c>
      <c r="H30" s="800"/>
      <c r="I30" s="800"/>
      <c r="J30" s="800"/>
      <c r="K30" s="827"/>
      <c r="L30" s="800"/>
      <c r="M30" s="810">
        <v>15787.89</v>
      </c>
      <c r="N30" s="36"/>
    </row>
    <row r="31" spans="1:14" s="306" customFormat="1" ht="12.75" x14ac:dyDescent="0.2">
      <c r="A31" s="783"/>
      <c r="B31" s="782" t="s">
        <v>567</v>
      </c>
      <c r="C31" s="810">
        <v>73422.61</v>
      </c>
      <c r="D31" s="786"/>
      <c r="E31" s="807"/>
      <c r="F31" s="814">
        <v>13000</v>
      </c>
      <c r="G31" s="800">
        <v>60422.61</v>
      </c>
      <c r="H31" s="800"/>
      <c r="I31" s="800"/>
      <c r="J31" s="800"/>
      <c r="K31" s="827"/>
      <c r="L31" s="800"/>
      <c r="M31" s="810">
        <v>73422.61</v>
      </c>
      <c r="N31" s="34"/>
    </row>
    <row r="32" spans="1:14" s="36" customFormat="1" ht="12.75" x14ac:dyDescent="0.2">
      <c r="A32" s="415"/>
      <c r="B32" s="321"/>
      <c r="C32" s="811"/>
      <c r="D32" s="413"/>
      <c r="E32" s="799"/>
      <c r="F32" s="799"/>
      <c r="G32" s="801"/>
      <c r="H32" s="801"/>
      <c r="I32" s="801"/>
      <c r="J32" s="801"/>
      <c r="K32" s="819"/>
      <c r="L32" s="801"/>
      <c r="M32" s="819"/>
      <c r="N32" s="34"/>
    </row>
    <row r="33" spans="1:14" s="833" customFormat="1" ht="12.75" x14ac:dyDescent="0.2">
      <c r="A33" s="830">
        <v>5</v>
      </c>
      <c r="B33" s="486" t="s">
        <v>118</v>
      </c>
      <c r="C33" s="808">
        <v>54341.49</v>
      </c>
      <c r="D33" s="831">
        <f>C33/C$62</f>
        <v>7.7899999999999997E-2</v>
      </c>
      <c r="E33" s="806"/>
      <c r="F33" s="803"/>
      <c r="G33" s="802"/>
      <c r="H33" s="802">
        <f>H35+H36</f>
        <v>32110.35</v>
      </c>
      <c r="I33" s="802"/>
      <c r="J33" s="802">
        <v>7000</v>
      </c>
      <c r="K33" s="802"/>
      <c r="L33" s="802">
        <v>15231.14</v>
      </c>
      <c r="M33" s="802">
        <f>SUM(E33:L33)</f>
        <v>54341.49</v>
      </c>
      <c r="N33" s="834"/>
    </row>
    <row r="34" spans="1:14" s="36" customFormat="1" ht="12.75" x14ac:dyDescent="0.2">
      <c r="A34" s="415"/>
      <c r="B34" s="782" t="s">
        <v>565</v>
      </c>
      <c r="C34" s="810">
        <v>22231.14</v>
      </c>
      <c r="D34" s="412"/>
      <c r="E34" s="799"/>
      <c r="F34" s="805"/>
      <c r="G34" s="816"/>
      <c r="H34" s="800"/>
      <c r="I34" s="800"/>
      <c r="J34" s="800">
        <v>7000</v>
      </c>
      <c r="K34" s="827"/>
      <c r="L34" s="800">
        <v>15231.14</v>
      </c>
      <c r="M34" s="810">
        <v>22231.14</v>
      </c>
      <c r="N34" s="785"/>
    </row>
    <row r="35" spans="1:14" s="36" customFormat="1" ht="12.75" x14ac:dyDescent="0.2">
      <c r="A35" s="415"/>
      <c r="B35" s="782" t="s">
        <v>568</v>
      </c>
      <c r="C35" s="810">
        <v>2564.15</v>
      </c>
      <c r="D35" s="412"/>
      <c r="E35" s="799"/>
      <c r="F35" s="805"/>
      <c r="G35" s="816"/>
      <c r="H35" s="800">
        <v>2564.15</v>
      </c>
      <c r="I35" s="800"/>
      <c r="J35" s="800"/>
      <c r="K35" s="827"/>
      <c r="L35" s="800"/>
      <c r="M35" s="810">
        <v>2564.15</v>
      </c>
      <c r="N35" s="34"/>
    </row>
    <row r="36" spans="1:14" s="36" customFormat="1" ht="12.75" x14ac:dyDescent="0.2">
      <c r="A36" s="415"/>
      <c r="B36" s="782" t="s">
        <v>567</v>
      </c>
      <c r="C36" s="810">
        <v>29546.2</v>
      </c>
      <c r="D36" s="412"/>
      <c r="E36" s="799"/>
      <c r="F36" s="805"/>
      <c r="G36" s="816"/>
      <c r="H36" s="800">
        <v>29546.2</v>
      </c>
      <c r="I36" s="800"/>
      <c r="J36" s="800"/>
      <c r="K36" s="827"/>
      <c r="L36" s="800"/>
      <c r="M36" s="810">
        <v>29546.2</v>
      </c>
      <c r="N36" s="34"/>
    </row>
    <row r="37" spans="1:14" s="36" customFormat="1" ht="12.75" x14ac:dyDescent="0.2">
      <c r="A37" s="415"/>
      <c r="B37" s="782"/>
      <c r="C37" s="811"/>
      <c r="D37" s="412"/>
      <c r="E37" s="799"/>
      <c r="F37" s="805"/>
      <c r="G37" s="816"/>
      <c r="H37" s="800"/>
      <c r="I37" s="800"/>
      <c r="J37" s="800"/>
      <c r="K37" s="827"/>
      <c r="L37" s="800"/>
      <c r="M37" s="826"/>
      <c r="N37" s="34"/>
    </row>
    <row r="38" spans="1:14" s="834" customFormat="1" ht="12.75" x14ac:dyDescent="0.2">
      <c r="A38" s="830">
        <v>6</v>
      </c>
      <c r="B38" s="485" t="s">
        <v>338</v>
      </c>
      <c r="C38" s="808">
        <v>46323.26</v>
      </c>
      <c r="D38" s="831">
        <f>C38/C$62</f>
        <v>6.6400000000000001E-2</v>
      </c>
      <c r="E38" s="806"/>
      <c r="F38" s="817">
        <v>3000</v>
      </c>
      <c r="G38" s="817">
        <v>4000</v>
      </c>
      <c r="H38" s="802">
        <f>H40</f>
        <v>10652.16</v>
      </c>
      <c r="I38" s="802">
        <f>I39</f>
        <v>7250</v>
      </c>
      <c r="J38" s="802">
        <f>J39</f>
        <v>7550</v>
      </c>
      <c r="K38" s="825">
        <v>6600</v>
      </c>
      <c r="L38" s="802">
        <v>7271.1</v>
      </c>
      <c r="M38" s="825">
        <f>SUM(E38:L38)</f>
        <v>46323.26</v>
      </c>
    </row>
    <row r="39" spans="1:14" s="785" customFormat="1" ht="12.75" x14ac:dyDescent="0.2">
      <c r="A39" s="783"/>
      <c r="B39" s="787" t="s">
        <v>565</v>
      </c>
      <c r="C39" s="810">
        <v>28671.1</v>
      </c>
      <c r="D39" s="784"/>
      <c r="E39" s="807"/>
      <c r="F39" s="818"/>
      <c r="G39" s="818"/>
      <c r="H39" s="800"/>
      <c r="I39" s="800">
        <v>7250</v>
      </c>
      <c r="J39" s="800">
        <v>7550</v>
      </c>
      <c r="K39" s="827">
        <v>6600</v>
      </c>
      <c r="L39" s="800">
        <v>7271.1</v>
      </c>
      <c r="M39" s="810">
        <v>28671.1</v>
      </c>
      <c r="N39" s="34"/>
    </row>
    <row r="40" spans="1:14" s="785" customFormat="1" ht="12.75" x14ac:dyDescent="0.2">
      <c r="A40" s="783"/>
      <c r="B40" s="787" t="s">
        <v>567</v>
      </c>
      <c r="C40" s="810">
        <v>17652.16</v>
      </c>
      <c r="D40" s="784"/>
      <c r="E40" s="807"/>
      <c r="F40" s="818">
        <v>3000</v>
      </c>
      <c r="G40" s="818">
        <v>4000</v>
      </c>
      <c r="H40" s="800">
        <v>10652.16</v>
      </c>
      <c r="I40" s="800"/>
      <c r="J40" s="800"/>
      <c r="K40" s="827"/>
      <c r="L40" s="800"/>
      <c r="M40" s="810">
        <v>17652.16</v>
      </c>
      <c r="N40" s="34"/>
    </row>
    <row r="41" spans="1:14" s="34" customFormat="1" ht="12.75" x14ac:dyDescent="0.2">
      <c r="A41" s="415"/>
      <c r="B41" s="320"/>
      <c r="C41" s="810"/>
      <c r="D41" s="413"/>
      <c r="E41" s="799"/>
      <c r="F41" s="801"/>
      <c r="G41" s="801"/>
      <c r="H41" s="801"/>
      <c r="I41" s="801"/>
      <c r="J41" s="801"/>
      <c r="K41" s="819"/>
      <c r="L41" s="801"/>
      <c r="M41" s="819"/>
    </row>
    <row r="42" spans="1:14" s="833" customFormat="1" ht="12.75" x14ac:dyDescent="0.2">
      <c r="A42" s="830">
        <v>7</v>
      </c>
      <c r="B42" s="485" t="s">
        <v>339</v>
      </c>
      <c r="C42" s="808">
        <v>23234.18</v>
      </c>
      <c r="D42" s="831">
        <f>C42/C$62</f>
        <v>3.3300000000000003E-2</v>
      </c>
      <c r="E42" s="806"/>
      <c r="F42" s="817">
        <v>4150</v>
      </c>
      <c r="G42" s="802">
        <v>3900</v>
      </c>
      <c r="H42" s="802">
        <f>H44</f>
        <v>6068.03</v>
      </c>
      <c r="I42" s="802"/>
      <c r="J42" s="802">
        <v>1980</v>
      </c>
      <c r="K42" s="825">
        <v>7136.15</v>
      </c>
      <c r="L42" s="802"/>
      <c r="M42" s="825">
        <f>SUM(F42:L42)</f>
        <v>23234.18</v>
      </c>
      <c r="N42" s="834"/>
    </row>
    <row r="43" spans="1:14" s="36" customFormat="1" x14ac:dyDescent="0.2">
      <c r="A43" s="415"/>
      <c r="B43" s="787" t="s">
        <v>565</v>
      </c>
      <c r="C43" s="810">
        <v>9116.15</v>
      </c>
      <c r="D43" s="412"/>
      <c r="E43" s="799"/>
      <c r="F43" s="818"/>
      <c r="G43" s="800"/>
      <c r="H43" s="800"/>
      <c r="I43" s="800"/>
      <c r="J43" s="800">
        <v>1980</v>
      </c>
      <c r="K43" s="827">
        <v>7136.15</v>
      </c>
      <c r="L43" s="800"/>
      <c r="M43" s="810">
        <v>9116.15</v>
      </c>
      <c r="N43" s="81"/>
    </row>
    <row r="44" spans="1:14" s="36" customFormat="1" x14ac:dyDescent="0.2">
      <c r="A44" s="415"/>
      <c r="B44" s="787" t="s">
        <v>567</v>
      </c>
      <c r="C44" s="810">
        <v>14118.03</v>
      </c>
      <c r="D44" s="412"/>
      <c r="E44" s="799"/>
      <c r="F44" s="818">
        <v>4150</v>
      </c>
      <c r="G44" s="800">
        <v>3900</v>
      </c>
      <c r="H44" s="800">
        <v>6068.03</v>
      </c>
      <c r="I44" s="800"/>
      <c r="J44" s="800"/>
      <c r="K44" s="827"/>
      <c r="L44" s="800"/>
      <c r="M44" s="810">
        <v>14118.03</v>
      </c>
      <c r="N44" s="81"/>
    </row>
    <row r="45" spans="1:14" s="36" customFormat="1" x14ac:dyDescent="0.2">
      <c r="A45" s="415"/>
      <c r="B45" s="320"/>
      <c r="C45" s="811"/>
      <c r="D45" s="413"/>
      <c r="E45" s="799"/>
      <c r="F45" s="799"/>
      <c r="G45" s="799"/>
      <c r="H45" s="799"/>
      <c r="I45" s="799"/>
      <c r="J45" s="799"/>
      <c r="K45" s="813"/>
      <c r="L45" s="799"/>
      <c r="M45" s="813"/>
      <c r="N45" s="81"/>
    </row>
    <row r="46" spans="1:14" s="833" customFormat="1" x14ac:dyDescent="0.2">
      <c r="A46" s="830">
        <v>8</v>
      </c>
      <c r="B46" s="485" t="s">
        <v>88</v>
      </c>
      <c r="C46" s="808">
        <v>33441.68</v>
      </c>
      <c r="D46" s="831">
        <f>C46/C$62</f>
        <v>4.7899999999999998E-2</v>
      </c>
      <c r="E46" s="806"/>
      <c r="F46" s="803"/>
      <c r="G46" s="803"/>
      <c r="H46" s="802">
        <f>H48+H49</f>
        <v>9337.69</v>
      </c>
      <c r="I46" s="802"/>
      <c r="J46" s="802">
        <f>10900+J48</f>
        <v>11930.04</v>
      </c>
      <c r="K46" s="825"/>
      <c r="L46" s="802">
        <v>12173.95</v>
      </c>
      <c r="M46" s="825">
        <f>SUM(E46:L46)</f>
        <v>33441.68</v>
      </c>
      <c r="N46" s="837"/>
    </row>
    <row r="47" spans="1:14" s="36" customFormat="1" x14ac:dyDescent="0.2">
      <c r="A47" s="415"/>
      <c r="B47" s="782" t="s">
        <v>565</v>
      </c>
      <c r="C47" s="810">
        <v>23073.95</v>
      </c>
      <c r="D47" s="412"/>
      <c r="E47" s="799"/>
      <c r="F47" s="805"/>
      <c r="G47" s="805"/>
      <c r="H47" s="800"/>
      <c r="I47" s="800"/>
      <c r="J47" s="800">
        <v>10900</v>
      </c>
      <c r="K47" s="827"/>
      <c r="L47" s="800">
        <v>12173.95</v>
      </c>
      <c r="M47" s="810">
        <v>23073.95</v>
      </c>
      <c r="N47" s="81"/>
    </row>
    <row r="48" spans="1:14" s="36" customFormat="1" x14ac:dyDescent="0.2">
      <c r="A48" s="415"/>
      <c r="B48" s="782" t="s">
        <v>568</v>
      </c>
      <c r="C48" s="810">
        <v>1030.04</v>
      </c>
      <c r="D48" s="412"/>
      <c r="E48" s="799"/>
      <c r="F48" s="805"/>
      <c r="G48" s="805"/>
      <c r="H48" s="800"/>
      <c r="I48" s="800"/>
      <c r="J48" s="800">
        <v>1030.04</v>
      </c>
      <c r="K48" s="827"/>
      <c r="L48" s="800"/>
      <c r="M48" s="810">
        <v>1030.04</v>
      </c>
      <c r="N48" s="81"/>
    </row>
    <row r="49" spans="1:14" s="36" customFormat="1" x14ac:dyDescent="0.2">
      <c r="A49" s="415"/>
      <c r="B49" s="782" t="s">
        <v>567</v>
      </c>
      <c r="C49" s="810">
        <v>9337.69</v>
      </c>
      <c r="D49" s="412"/>
      <c r="E49" s="799"/>
      <c r="F49" s="805"/>
      <c r="G49" s="805"/>
      <c r="H49" s="800">
        <v>9337.69</v>
      </c>
      <c r="I49" s="800"/>
      <c r="J49" s="800"/>
      <c r="K49" s="827"/>
      <c r="L49" s="800"/>
      <c r="M49" s="810">
        <v>9337.69</v>
      </c>
      <c r="N49" s="80"/>
    </row>
    <row r="50" spans="1:14" s="36" customFormat="1" x14ac:dyDescent="0.2">
      <c r="A50" s="415"/>
      <c r="B50" s="320"/>
      <c r="C50" s="811"/>
      <c r="D50" s="413"/>
      <c r="E50" s="799"/>
      <c r="F50" s="799"/>
      <c r="G50" s="799"/>
      <c r="H50" s="801"/>
      <c r="I50" s="801"/>
      <c r="J50" s="801"/>
      <c r="K50" s="819"/>
      <c r="L50" s="801"/>
      <c r="M50" s="819"/>
      <c r="N50" s="80"/>
    </row>
    <row r="51" spans="1:14" s="834" customFormat="1" x14ac:dyDescent="0.2">
      <c r="A51" s="830">
        <v>9</v>
      </c>
      <c r="B51" s="485" t="s">
        <v>352</v>
      </c>
      <c r="C51" s="808">
        <f>C52+C53</f>
        <v>29439.62</v>
      </c>
      <c r="D51" s="831">
        <f>C51/C$62</f>
        <v>4.2200000000000001E-2</v>
      </c>
      <c r="E51" s="802">
        <v>3033.6</v>
      </c>
      <c r="F51" s="806"/>
      <c r="G51" s="806"/>
      <c r="H51" s="802">
        <f>H53</f>
        <v>26406.02</v>
      </c>
      <c r="I51" s="802"/>
      <c r="J51" s="802"/>
      <c r="K51" s="838"/>
      <c r="L51" s="802"/>
      <c r="M51" s="838">
        <f>H51+E51</f>
        <v>29439.62</v>
      </c>
      <c r="N51" s="837"/>
    </row>
    <row r="52" spans="1:14" s="34" customFormat="1" x14ac:dyDescent="0.2">
      <c r="A52" s="415"/>
      <c r="B52" s="787" t="s">
        <v>565</v>
      </c>
      <c r="C52" s="810">
        <v>3033.6</v>
      </c>
      <c r="D52" s="412"/>
      <c r="E52" s="816">
        <v>3033.6</v>
      </c>
      <c r="F52" s="799"/>
      <c r="G52" s="799"/>
      <c r="H52" s="800"/>
      <c r="I52" s="816"/>
      <c r="J52" s="816"/>
      <c r="K52" s="828"/>
      <c r="L52" s="816"/>
      <c r="M52" s="810">
        <v>3033.6</v>
      </c>
      <c r="N52" s="81"/>
    </row>
    <row r="53" spans="1:14" s="34" customFormat="1" x14ac:dyDescent="0.2">
      <c r="A53" s="415"/>
      <c r="B53" s="787" t="s">
        <v>567</v>
      </c>
      <c r="C53" s="810">
        <v>26406.02</v>
      </c>
      <c r="D53" s="412"/>
      <c r="E53" s="799"/>
      <c r="F53" s="799"/>
      <c r="G53" s="799"/>
      <c r="H53" s="800">
        <v>26406.02</v>
      </c>
      <c r="I53" s="816"/>
      <c r="J53" s="816"/>
      <c r="K53" s="828"/>
      <c r="L53" s="816"/>
      <c r="M53" s="810">
        <v>26406.02</v>
      </c>
      <c r="N53" s="81"/>
    </row>
    <row r="54" spans="1:14" s="34" customFormat="1" x14ac:dyDescent="0.2">
      <c r="A54" s="415"/>
      <c r="B54" s="320"/>
      <c r="C54" s="811"/>
      <c r="D54" s="412"/>
      <c r="E54" s="799"/>
      <c r="F54" s="799"/>
      <c r="G54" s="799"/>
      <c r="H54" s="801"/>
      <c r="I54" s="801"/>
      <c r="J54" s="801"/>
      <c r="K54" s="819"/>
      <c r="L54" s="801"/>
      <c r="M54" s="819"/>
      <c r="N54" s="81"/>
    </row>
    <row r="55" spans="1:14" s="834" customFormat="1" x14ac:dyDescent="0.2">
      <c r="A55" s="830">
        <v>10</v>
      </c>
      <c r="B55" s="485" t="s">
        <v>361</v>
      </c>
      <c r="C55" s="808">
        <v>4816.5</v>
      </c>
      <c r="D55" s="831">
        <f>C55/C$62</f>
        <v>6.8999999999999999E-3</v>
      </c>
      <c r="E55" s="806"/>
      <c r="F55" s="806"/>
      <c r="G55" s="806"/>
      <c r="H55" s="802"/>
      <c r="I55" s="802"/>
      <c r="J55" s="802"/>
      <c r="K55" s="838"/>
      <c r="L55" s="802">
        <v>4816.5</v>
      </c>
      <c r="M55" s="838">
        <f>H55+L55</f>
        <v>4816.5</v>
      </c>
      <c r="N55" s="837"/>
    </row>
    <row r="56" spans="1:14" s="785" customFormat="1" ht="12.75" x14ac:dyDescent="0.2">
      <c r="A56" s="783"/>
      <c r="B56" s="787" t="s">
        <v>565</v>
      </c>
      <c r="C56" s="810">
        <v>4816.5</v>
      </c>
      <c r="D56" s="784"/>
      <c r="E56" s="807"/>
      <c r="F56" s="807"/>
      <c r="G56" s="807"/>
      <c r="H56" s="800"/>
      <c r="I56" s="800"/>
      <c r="J56" s="800"/>
      <c r="K56" s="829"/>
      <c r="L56" s="800">
        <v>4816.5</v>
      </c>
      <c r="M56" s="810">
        <v>4816.5</v>
      </c>
      <c r="N56" s="34"/>
    </row>
    <row r="57" spans="1:14" s="785" customFormat="1" ht="12.75" x14ac:dyDescent="0.2">
      <c r="A57" s="783"/>
      <c r="B57" s="787"/>
      <c r="C57" s="810"/>
      <c r="D57" s="784"/>
      <c r="E57" s="807"/>
      <c r="F57" s="807"/>
      <c r="G57" s="807"/>
      <c r="H57" s="800"/>
      <c r="I57" s="800"/>
      <c r="J57" s="800"/>
      <c r="K57" s="829"/>
      <c r="L57" s="800"/>
      <c r="M57" s="829"/>
      <c r="N57" s="36"/>
    </row>
    <row r="58" spans="1:14" s="834" customFormat="1" ht="12.75" x14ac:dyDescent="0.2">
      <c r="A58" s="830">
        <v>11</v>
      </c>
      <c r="B58" s="485" t="s">
        <v>354</v>
      </c>
      <c r="C58" s="808">
        <v>3215.5</v>
      </c>
      <c r="D58" s="831">
        <f>C58/C$62</f>
        <v>4.5999999999999999E-3</v>
      </c>
      <c r="E58" s="806"/>
      <c r="F58" s="806"/>
      <c r="G58" s="806"/>
      <c r="H58" s="802">
        <f>H60</f>
        <v>1375.94</v>
      </c>
      <c r="I58" s="802"/>
      <c r="J58" s="802"/>
      <c r="K58" s="838"/>
      <c r="L58" s="802">
        <v>1839.56</v>
      </c>
      <c r="M58" s="838">
        <f>H58+L58</f>
        <v>3215.5</v>
      </c>
      <c r="N58" s="833"/>
    </row>
    <row r="59" spans="1:14" s="34" customFormat="1" ht="12.75" x14ac:dyDescent="0.2">
      <c r="A59" s="415"/>
      <c r="B59" s="787" t="s">
        <v>565</v>
      </c>
      <c r="C59" s="810">
        <v>1839.56</v>
      </c>
      <c r="D59" s="412"/>
      <c r="E59" s="799"/>
      <c r="F59" s="799"/>
      <c r="G59" s="799"/>
      <c r="H59" s="800"/>
      <c r="I59" s="816"/>
      <c r="J59" s="816"/>
      <c r="K59" s="828"/>
      <c r="L59" s="816">
        <v>1839.56</v>
      </c>
      <c r="M59" s="810">
        <v>1839.56</v>
      </c>
      <c r="N59" s="36"/>
    </row>
    <row r="60" spans="1:14" s="34" customFormat="1" ht="12.75" x14ac:dyDescent="0.2">
      <c r="A60" s="415"/>
      <c r="B60" s="787" t="s">
        <v>567</v>
      </c>
      <c r="C60" s="810">
        <v>1375.94</v>
      </c>
      <c r="D60" s="412"/>
      <c r="E60" s="799"/>
      <c r="F60" s="799"/>
      <c r="G60" s="799"/>
      <c r="H60" s="800">
        <v>1375.94</v>
      </c>
      <c r="I60" s="805"/>
      <c r="J60" s="805"/>
      <c r="K60" s="815"/>
      <c r="L60" s="805"/>
      <c r="M60" s="810">
        <v>1375.94</v>
      </c>
      <c r="N60" s="36"/>
    </row>
    <row r="61" spans="1:14" s="34" customFormat="1" ht="13.5" thickBot="1" x14ac:dyDescent="0.25">
      <c r="A61" s="319"/>
      <c r="B61" s="320"/>
      <c r="C61" s="811"/>
      <c r="D61" s="412"/>
      <c r="E61" s="799"/>
      <c r="F61" s="799"/>
      <c r="G61" s="799"/>
      <c r="H61" s="799"/>
      <c r="I61" s="799"/>
      <c r="J61" s="799"/>
      <c r="K61" s="813"/>
      <c r="L61" s="799"/>
      <c r="M61" s="813"/>
      <c r="N61" s="36"/>
    </row>
    <row r="62" spans="1:14" s="34" customFormat="1" ht="15.75" thickBot="1" x14ac:dyDescent="0.25">
      <c r="A62" s="1031" t="s">
        <v>365</v>
      </c>
      <c r="B62" s="1032"/>
      <c r="C62" s="812">
        <f>C58+C55+C51+C46+C42+C38+C33+C23+C13+C18+C28</f>
        <v>697730</v>
      </c>
      <c r="D62" s="482">
        <f>D58+D55+D51+D46+D42+D38+D33+D28+D23+D18+D13</f>
        <v>1</v>
      </c>
      <c r="E62" s="804">
        <f>E13+E18</f>
        <v>69981.05</v>
      </c>
      <c r="F62" s="804">
        <f>F18+F38+F42+F13+F28</f>
        <v>72909.600000000006</v>
      </c>
      <c r="G62" s="804">
        <f>G23+G28+G38+G42+G18</f>
        <v>96379.02</v>
      </c>
      <c r="H62" s="840">
        <f>H23+H33+H38+H42+H46+H51+H55+H58</f>
        <v>109794.68</v>
      </c>
      <c r="I62" s="804">
        <f>I18+I28+I38+I13</f>
        <v>110132.73</v>
      </c>
      <c r="J62" s="804">
        <f>J23+J28+J33+J38+J42+J46+J51</f>
        <v>53010.04</v>
      </c>
      <c r="K62" s="804">
        <f>K18+K28+K38+K42+K13</f>
        <v>116645.57</v>
      </c>
      <c r="L62" s="804">
        <f>L13+L23+L28+L33+L38+L42+L46+L55+L58</f>
        <v>65843.710000000006</v>
      </c>
      <c r="M62" s="839">
        <f>M58+M55+M51+M46+M42+M38+M33+M28+M23+M18+M13</f>
        <v>697730</v>
      </c>
      <c r="N62" s="33"/>
    </row>
    <row r="63" spans="1:14" s="34" customFormat="1" ht="15.75" thickBot="1" x14ac:dyDescent="0.25">
      <c r="A63" s="1037"/>
      <c r="B63" s="1038"/>
      <c r="C63" s="1038"/>
      <c r="D63" s="1038"/>
      <c r="E63" s="1038"/>
      <c r="F63" s="1038"/>
      <c r="G63" s="1038"/>
      <c r="H63" s="1038"/>
      <c r="I63" s="1038"/>
      <c r="J63" s="1038"/>
      <c r="K63" s="1038"/>
      <c r="L63" s="1039"/>
      <c r="M63" s="80"/>
      <c r="N63" s="33"/>
    </row>
    <row r="64" spans="1:14" s="36" customFormat="1" x14ac:dyDescent="0.2">
      <c r="A64" s="136">
        <v>44634</v>
      </c>
      <c r="B64" s="306"/>
      <c r="C64" s="306"/>
      <c r="D64" s="306"/>
      <c r="E64" s="306"/>
      <c r="F64" s="306"/>
      <c r="G64" s="306"/>
      <c r="H64" s="306"/>
      <c r="I64" s="82"/>
      <c r="J64" s="31"/>
      <c r="K64" s="31"/>
      <c r="L64" s="31"/>
      <c r="M64" s="80"/>
      <c r="N64" s="33"/>
    </row>
    <row r="65" spans="1:15" s="36" customFormat="1" ht="15" customHeight="1" x14ac:dyDescent="0.2">
      <c r="A65" s="102"/>
      <c r="B65" s="306"/>
      <c r="C65" s="306"/>
      <c r="D65" s="306"/>
      <c r="E65" s="306"/>
      <c r="F65" s="306"/>
      <c r="G65" s="306"/>
      <c r="H65" s="306"/>
      <c r="I65" s="26"/>
      <c r="J65" s="31"/>
      <c r="K65" s="31"/>
      <c r="L65" s="31"/>
      <c r="M65" s="80"/>
      <c r="N65" s="33"/>
    </row>
    <row r="66" spans="1:15" s="36" customFormat="1" x14ac:dyDescent="0.2">
      <c r="A66" s="102"/>
      <c r="B66" s="306"/>
      <c r="C66" s="306"/>
      <c r="D66" s="306"/>
      <c r="E66" s="306"/>
      <c r="F66" s="306"/>
      <c r="G66" s="306"/>
      <c r="H66" s="306"/>
      <c r="I66" s="26"/>
      <c r="J66" s="31"/>
      <c r="K66" s="31"/>
      <c r="L66" s="31"/>
      <c r="M66" s="80"/>
      <c r="N66" s="33"/>
    </row>
    <row r="67" spans="1:15" s="36" customFormat="1" ht="30" customHeight="1" x14ac:dyDescent="0.2">
      <c r="A67" s="102"/>
      <c r="B67" s="306"/>
      <c r="C67" s="306"/>
      <c r="D67" s="306"/>
      <c r="E67" s="306"/>
      <c r="F67" s="306"/>
      <c r="G67" s="306"/>
      <c r="H67" s="306"/>
      <c r="I67" s="31"/>
      <c r="J67" s="31"/>
      <c r="K67" s="31"/>
      <c r="L67" s="31"/>
      <c r="M67" s="80"/>
      <c r="N67" s="33"/>
    </row>
    <row r="68" spans="1:15" s="36" customFormat="1" ht="30" customHeight="1" x14ac:dyDescent="0.2">
      <c r="A68" s="102"/>
      <c r="B68" s="306"/>
      <c r="C68" s="306"/>
      <c r="D68" s="306"/>
      <c r="E68" s="306"/>
      <c r="F68" s="306"/>
      <c r="G68" s="306"/>
      <c r="H68" s="306"/>
      <c r="I68" s="31"/>
      <c r="J68" s="31"/>
      <c r="K68" s="31"/>
      <c r="L68" s="31"/>
      <c r="M68" s="80"/>
      <c r="N68" s="33"/>
    </row>
    <row r="69" spans="1:15" s="36" customFormat="1" ht="15.75" thickBot="1" x14ac:dyDescent="0.25">
      <c r="A69" s="29"/>
      <c r="B69" s="30"/>
      <c r="C69" s="78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3"/>
      <c r="O69" s="81"/>
    </row>
    <row r="70" spans="1:15" s="36" customFormat="1" x14ac:dyDescent="0.2">
      <c r="A70" s="28"/>
      <c r="B70" s="1033" t="s">
        <v>47</v>
      </c>
      <c r="C70" s="1033"/>
      <c r="D70" s="88"/>
      <c r="E70" s="1034" t="s">
        <v>54</v>
      </c>
      <c r="F70" s="1034"/>
      <c r="G70" s="82"/>
      <c r="H70" s="82"/>
      <c r="I70" s="31"/>
      <c r="J70" s="31"/>
      <c r="K70" s="31"/>
      <c r="L70" s="31"/>
      <c r="M70" s="31"/>
      <c r="N70" s="33"/>
      <c r="O70" s="81"/>
    </row>
    <row r="71" spans="1:15" s="36" customFormat="1" x14ac:dyDescent="0.2">
      <c r="A71" s="28"/>
      <c r="B71" s="94"/>
      <c r="C71" s="107"/>
      <c r="D71" s="93"/>
      <c r="E71" s="89"/>
      <c r="F71" s="83"/>
      <c r="G71" s="82"/>
      <c r="H71" s="26"/>
      <c r="I71" s="31"/>
      <c r="J71" s="31"/>
      <c r="K71" s="31"/>
      <c r="L71" s="31"/>
      <c r="M71" s="31"/>
      <c r="N71" s="33"/>
      <c r="O71" s="81"/>
    </row>
    <row r="72" spans="1:15" s="34" customFormat="1" ht="15.75" x14ac:dyDescent="0.2">
      <c r="A72" s="28"/>
      <c r="B72" s="109" t="s">
        <v>583</v>
      </c>
      <c r="C72" s="109"/>
      <c r="D72" s="93"/>
      <c r="E72" s="90"/>
      <c r="F72" s="86"/>
      <c r="G72" s="82"/>
      <c r="H72" s="26"/>
      <c r="I72" s="31"/>
      <c r="J72" s="31"/>
      <c r="K72" s="31"/>
      <c r="L72" s="31"/>
      <c r="M72" s="31"/>
      <c r="N72" s="33"/>
      <c r="O72" s="81"/>
    </row>
    <row r="73" spans="1:15" s="34" customFormat="1" x14ac:dyDescent="0.2">
      <c r="A73" s="28"/>
      <c r="B73" s="110" t="s">
        <v>584</v>
      </c>
      <c r="C73" s="110"/>
      <c r="D73" s="93"/>
      <c r="E73" s="88"/>
      <c r="F73" s="85"/>
      <c r="G73" s="82"/>
      <c r="H73" s="31"/>
      <c r="I73" s="31"/>
      <c r="J73" s="31"/>
      <c r="K73" s="31"/>
      <c r="L73" s="31"/>
      <c r="M73" s="31"/>
      <c r="N73" s="33"/>
      <c r="O73" s="81"/>
    </row>
    <row r="74" spans="1:15" s="34" customFormat="1" x14ac:dyDescent="0.2">
      <c r="A74" s="28"/>
      <c r="B74" s="110" t="s">
        <v>57</v>
      </c>
      <c r="C74" s="110"/>
      <c r="D74" s="93"/>
      <c r="E74" s="88"/>
      <c r="F74" s="85"/>
      <c r="G74" s="82"/>
      <c r="H74" s="31"/>
      <c r="I74" s="31"/>
      <c r="J74" s="31"/>
      <c r="K74" s="31"/>
      <c r="L74" s="31"/>
      <c r="M74" s="31"/>
      <c r="N74" s="33"/>
      <c r="O74" s="81"/>
    </row>
    <row r="75" spans="1:15" s="34" customFormat="1" x14ac:dyDescent="0.2">
      <c r="A75" s="28"/>
      <c r="B75" s="30"/>
      <c r="C75" s="78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3"/>
      <c r="O75" s="81"/>
    </row>
    <row r="76" spans="1:15" s="34" customFormat="1" x14ac:dyDescent="0.2">
      <c r="A76" s="28"/>
      <c r="B76" s="30"/>
      <c r="C76" s="78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3"/>
      <c r="O76" s="81"/>
    </row>
    <row r="77" spans="1:15" s="34" customFormat="1" x14ac:dyDescent="0.2">
      <c r="A77" s="28"/>
      <c r="B77" s="30"/>
      <c r="C77" s="78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3"/>
      <c r="O77" s="81"/>
    </row>
    <row r="78" spans="1:15" s="36" customFormat="1" x14ac:dyDescent="0.2">
      <c r="A78" s="28"/>
      <c r="B78" s="30"/>
      <c r="C78" s="78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3"/>
      <c r="O78" s="81"/>
    </row>
    <row r="79" spans="1:15" s="36" customFormat="1" x14ac:dyDescent="0.2">
      <c r="A79" s="28"/>
      <c r="B79" s="30"/>
      <c r="C79" s="78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3"/>
      <c r="O79" s="81"/>
    </row>
    <row r="80" spans="1:15" s="36" customFormat="1" x14ac:dyDescent="0.2">
      <c r="A80" s="28"/>
      <c r="B80" s="30"/>
      <c r="C80" s="78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3"/>
      <c r="O80" s="81"/>
    </row>
    <row r="81" spans="1:15" s="36" customFormat="1" x14ac:dyDescent="0.2">
      <c r="A81" s="29"/>
      <c r="B81" s="32"/>
      <c r="C81" s="79"/>
      <c r="D81" s="25"/>
      <c r="E81" s="25"/>
      <c r="F81" s="33"/>
      <c r="G81" s="33"/>
      <c r="H81" s="33"/>
      <c r="I81" s="33"/>
      <c r="J81" s="33"/>
      <c r="K81" s="33"/>
      <c r="L81" s="33"/>
      <c r="M81" s="33"/>
      <c r="N81" s="33"/>
      <c r="O81" s="81"/>
    </row>
    <row r="82" spans="1:15" s="36" customFormat="1" x14ac:dyDescent="0.2">
      <c r="A82" s="29"/>
      <c r="B82" s="32"/>
      <c r="C82" s="79"/>
      <c r="D82" s="25"/>
      <c r="E82" s="25"/>
      <c r="F82" s="33"/>
      <c r="G82" s="33"/>
      <c r="H82" s="33"/>
      <c r="I82" s="33"/>
      <c r="J82" s="33"/>
      <c r="K82" s="33"/>
      <c r="L82" s="33"/>
      <c r="M82" s="33"/>
      <c r="N82" s="33"/>
      <c r="O82" s="81"/>
    </row>
    <row r="83" spans="1:15" s="36" customFormat="1" x14ac:dyDescent="0.2">
      <c r="A83" s="29"/>
      <c r="B83" s="32"/>
      <c r="C83" s="79"/>
      <c r="D83" s="25"/>
      <c r="E83" s="25"/>
      <c r="F83" s="33"/>
      <c r="G83" s="33"/>
      <c r="H83" s="33"/>
      <c r="I83" s="33"/>
      <c r="J83" s="33"/>
      <c r="K83" s="33"/>
      <c r="L83" s="33"/>
      <c r="M83" s="33"/>
      <c r="N83" s="33"/>
      <c r="O83" s="81"/>
    </row>
    <row r="84" spans="1:15" s="36" customFormat="1" x14ac:dyDescent="0.2">
      <c r="A84" s="29"/>
      <c r="B84" s="32"/>
      <c r="C84" s="79"/>
      <c r="D84" s="25"/>
      <c r="E84" s="25"/>
      <c r="F84" s="33"/>
      <c r="G84" s="33"/>
      <c r="H84" s="33"/>
      <c r="I84" s="33"/>
      <c r="J84" s="33"/>
      <c r="K84" s="33"/>
      <c r="L84" s="33"/>
      <c r="M84" s="33"/>
      <c r="N84" s="33"/>
      <c r="O84" s="81"/>
    </row>
    <row r="85" spans="1:15" s="36" customFormat="1" x14ac:dyDescent="0.2">
      <c r="A85" s="29"/>
      <c r="B85" s="32"/>
      <c r="C85" s="79"/>
      <c r="D85" s="25"/>
      <c r="E85" s="25"/>
      <c r="F85" s="33"/>
      <c r="G85" s="33"/>
      <c r="H85" s="33"/>
      <c r="I85" s="33"/>
      <c r="J85" s="33"/>
      <c r="K85" s="33"/>
      <c r="L85" s="33"/>
      <c r="M85" s="33"/>
      <c r="N85" s="33"/>
      <c r="O85" s="81"/>
    </row>
    <row r="86" spans="1:15" s="36" customFormat="1" x14ac:dyDescent="0.2">
      <c r="A86" s="29"/>
      <c r="B86" s="32"/>
      <c r="C86" s="79"/>
      <c r="D86" s="25"/>
      <c r="E86" s="25"/>
      <c r="F86" s="33"/>
      <c r="G86" s="33"/>
      <c r="H86" s="33"/>
      <c r="I86" s="33"/>
      <c r="J86" s="33"/>
      <c r="K86" s="33"/>
      <c r="L86" s="33"/>
      <c r="M86" s="33"/>
      <c r="N86" s="33"/>
      <c r="O86" s="81"/>
    </row>
    <row r="87" spans="1:15" s="36" customFormat="1" x14ac:dyDescent="0.2">
      <c r="A87" s="29"/>
      <c r="B87" s="32"/>
      <c r="C87" s="79"/>
      <c r="D87" s="25"/>
      <c r="E87" s="25"/>
      <c r="F87" s="33"/>
      <c r="G87" s="33"/>
      <c r="H87" s="33"/>
      <c r="I87" s="33"/>
      <c r="J87" s="33"/>
      <c r="K87" s="33"/>
      <c r="L87" s="33"/>
      <c r="M87" s="33"/>
      <c r="N87" s="33"/>
      <c r="O87" s="81"/>
    </row>
    <row r="88" spans="1:15" s="34" customFormat="1" x14ac:dyDescent="0.2">
      <c r="A88" s="29"/>
      <c r="B88" s="32"/>
      <c r="C88" s="79"/>
      <c r="D88" s="25"/>
      <c r="E88" s="25"/>
      <c r="F88" s="33"/>
      <c r="G88" s="33"/>
      <c r="H88" s="33"/>
      <c r="I88" s="33"/>
      <c r="J88" s="33"/>
      <c r="K88" s="33"/>
      <c r="L88" s="33"/>
      <c r="M88" s="33"/>
      <c r="N88" s="33"/>
      <c r="O88" s="81"/>
    </row>
    <row r="89" spans="1:15" s="34" customFormat="1" x14ac:dyDescent="0.2">
      <c r="A89" s="29"/>
      <c r="B89" s="32"/>
      <c r="C89" s="79"/>
      <c r="D89" s="25"/>
      <c r="E89" s="25"/>
      <c r="F89" s="33"/>
      <c r="G89" s="33"/>
      <c r="H89" s="33"/>
      <c r="I89" s="33"/>
      <c r="J89" s="33"/>
      <c r="K89" s="33"/>
      <c r="L89" s="33"/>
      <c r="M89" s="33"/>
      <c r="N89" s="33"/>
      <c r="O89" s="81"/>
    </row>
    <row r="90" spans="1:15" s="307" customFormat="1" x14ac:dyDescent="0.2">
      <c r="A90" s="29"/>
      <c r="B90" s="32"/>
      <c r="C90" s="79"/>
      <c r="D90" s="25"/>
      <c r="E90" s="25"/>
      <c r="F90" s="33"/>
      <c r="G90" s="33"/>
      <c r="H90" s="33"/>
      <c r="I90" s="33"/>
      <c r="J90" s="33"/>
      <c r="K90" s="33"/>
      <c r="L90" s="33"/>
      <c r="M90" s="33"/>
      <c r="N90" s="33"/>
      <c r="O90" s="81"/>
    </row>
    <row r="91" spans="1:15" s="34" customFormat="1" x14ac:dyDescent="0.2">
      <c r="A91" s="29"/>
      <c r="B91" s="32"/>
      <c r="C91" s="79"/>
      <c r="D91" s="25"/>
      <c r="E91" s="25"/>
      <c r="F91" s="33"/>
      <c r="G91" s="33"/>
      <c r="H91" s="33"/>
      <c r="I91" s="33"/>
      <c r="J91" s="33"/>
      <c r="K91" s="33"/>
      <c r="L91" s="33"/>
      <c r="M91" s="33"/>
      <c r="N91" s="33"/>
      <c r="O91" s="81"/>
    </row>
    <row r="92" spans="1:15" s="34" customFormat="1" x14ac:dyDescent="0.2">
      <c r="A92" s="29"/>
      <c r="B92" s="32"/>
      <c r="C92" s="79"/>
      <c r="D92" s="25"/>
      <c r="E92" s="25"/>
      <c r="F92" s="33"/>
      <c r="G92" s="33"/>
      <c r="H92" s="33"/>
      <c r="I92" s="33"/>
      <c r="J92" s="33"/>
      <c r="K92" s="33"/>
      <c r="L92" s="33"/>
      <c r="M92" s="33"/>
      <c r="N92" s="33"/>
      <c r="O92" s="81"/>
    </row>
    <row r="93" spans="1:15" s="34" customFormat="1" x14ac:dyDescent="0.2">
      <c r="A93" s="29"/>
      <c r="B93" s="32"/>
      <c r="C93" s="79"/>
      <c r="D93" s="25"/>
      <c r="E93" s="25"/>
      <c r="F93" s="33"/>
      <c r="G93" s="33"/>
      <c r="H93" s="33"/>
      <c r="I93" s="33"/>
      <c r="J93" s="33"/>
      <c r="K93" s="33"/>
      <c r="L93" s="33"/>
      <c r="M93" s="33"/>
      <c r="N93" s="33"/>
      <c r="O93" s="81"/>
    </row>
    <row r="94" spans="1:15" s="36" customFormat="1" x14ac:dyDescent="0.2">
      <c r="A94" s="29"/>
      <c r="B94" s="32"/>
      <c r="C94" s="79"/>
      <c r="D94" s="25"/>
      <c r="E94" s="25"/>
      <c r="F94" s="33"/>
      <c r="G94" s="33"/>
      <c r="H94" s="33"/>
      <c r="I94" s="33"/>
      <c r="J94" s="33"/>
      <c r="K94" s="33"/>
      <c r="L94" s="33"/>
      <c r="M94" s="33"/>
      <c r="N94" s="33"/>
      <c r="O94" s="81"/>
    </row>
    <row r="95" spans="1:15" s="36" customFormat="1" x14ac:dyDescent="0.2">
      <c r="A95" s="29"/>
      <c r="B95" s="32"/>
      <c r="C95" s="79"/>
      <c r="D95" s="25"/>
      <c r="E95" s="25"/>
      <c r="F95" s="33"/>
      <c r="G95" s="33"/>
      <c r="H95" s="33"/>
      <c r="I95" s="33"/>
      <c r="J95" s="33"/>
      <c r="K95" s="33"/>
      <c r="L95" s="33"/>
      <c r="M95" s="33"/>
      <c r="N95" s="33"/>
      <c r="O95" s="81"/>
    </row>
    <row r="96" spans="1:15" s="34" customFormat="1" x14ac:dyDescent="0.2">
      <c r="A96" s="29"/>
      <c r="B96" s="32"/>
      <c r="C96" s="79"/>
      <c r="D96" s="25"/>
      <c r="E96" s="25"/>
      <c r="F96" s="33"/>
      <c r="G96" s="33"/>
      <c r="H96" s="33"/>
      <c r="I96" s="33"/>
      <c r="J96" s="33"/>
      <c r="K96" s="33"/>
      <c r="L96" s="33"/>
      <c r="M96" s="33"/>
      <c r="N96" s="33"/>
      <c r="O96" s="81"/>
    </row>
    <row r="97" spans="1:15" s="34" customFormat="1" x14ac:dyDescent="0.2">
      <c r="A97" s="29"/>
      <c r="B97" s="32"/>
      <c r="C97" s="79"/>
      <c r="D97" s="25"/>
      <c r="E97" s="25"/>
      <c r="F97" s="33"/>
      <c r="G97" s="33"/>
      <c r="H97" s="33"/>
      <c r="I97" s="33"/>
      <c r="J97" s="33"/>
      <c r="K97" s="33"/>
      <c r="L97" s="33"/>
      <c r="M97" s="33"/>
      <c r="N97" s="33"/>
      <c r="O97" s="81"/>
    </row>
    <row r="98" spans="1:15" s="36" customFormat="1" x14ac:dyDescent="0.2">
      <c r="A98" s="29"/>
      <c r="B98" s="32"/>
      <c r="C98" s="79"/>
      <c r="D98" s="25"/>
      <c r="E98" s="25"/>
      <c r="F98" s="33"/>
      <c r="G98" s="33"/>
      <c r="H98" s="33"/>
      <c r="I98" s="33"/>
      <c r="J98" s="33"/>
      <c r="K98" s="33"/>
      <c r="L98" s="33"/>
      <c r="M98" s="33"/>
      <c r="N98" s="33"/>
      <c r="O98" s="81"/>
    </row>
    <row r="99" spans="1:15" s="36" customFormat="1" x14ac:dyDescent="0.2">
      <c r="A99" s="29"/>
      <c r="B99" s="32"/>
      <c r="C99" s="79"/>
      <c r="D99" s="25"/>
      <c r="E99" s="25"/>
      <c r="F99" s="33"/>
      <c r="G99" s="33"/>
      <c r="H99" s="33"/>
      <c r="I99" s="33"/>
      <c r="J99" s="33"/>
      <c r="K99" s="33"/>
      <c r="L99" s="33"/>
      <c r="M99" s="33"/>
      <c r="N99" s="33"/>
      <c r="O99" s="81"/>
    </row>
    <row r="100" spans="1:15" s="34" customFormat="1" x14ac:dyDescent="0.2">
      <c r="A100" s="29"/>
      <c r="B100" s="32"/>
      <c r="C100" s="79"/>
      <c r="D100" s="25"/>
      <c r="E100" s="25"/>
      <c r="F100" s="33"/>
      <c r="G100" s="33"/>
      <c r="H100" s="33"/>
      <c r="I100" s="33"/>
      <c r="J100" s="33"/>
      <c r="K100" s="33"/>
      <c r="L100" s="33"/>
      <c r="M100" s="33"/>
      <c r="N100" s="33"/>
      <c r="O100" s="81"/>
    </row>
    <row r="101" spans="1:15" s="34" customFormat="1" x14ac:dyDescent="0.2">
      <c r="A101" s="29"/>
      <c r="B101" s="32"/>
      <c r="C101" s="79"/>
      <c r="D101" s="25"/>
      <c r="E101" s="25"/>
      <c r="F101" s="33"/>
      <c r="G101" s="33"/>
      <c r="H101" s="33"/>
      <c r="I101" s="33"/>
      <c r="J101" s="33"/>
      <c r="K101" s="33"/>
      <c r="L101" s="33"/>
      <c r="M101" s="33"/>
      <c r="N101" s="33"/>
      <c r="O101" s="81"/>
    </row>
    <row r="102" spans="1:15" s="34" customFormat="1" x14ac:dyDescent="0.2">
      <c r="A102" s="29"/>
      <c r="B102" s="32"/>
      <c r="C102" s="79"/>
      <c r="D102" s="25"/>
      <c r="E102" s="25"/>
      <c r="F102" s="33"/>
      <c r="G102" s="33"/>
      <c r="H102" s="33"/>
      <c r="I102" s="33"/>
      <c r="J102" s="33"/>
      <c r="K102" s="33"/>
      <c r="L102" s="33"/>
      <c r="M102" s="33"/>
      <c r="N102" s="33"/>
      <c r="O102" s="81"/>
    </row>
    <row r="103" spans="1:15" s="34" customFormat="1" x14ac:dyDescent="0.2">
      <c r="A103" s="29"/>
      <c r="B103" s="32"/>
      <c r="C103" s="79"/>
      <c r="D103" s="25"/>
      <c r="E103" s="25"/>
      <c r="F103" s="33"/>
      <c r="G103" s="33"/>
      <c r="H103" s="33"/>
      <c r="I103" s="33"/>
      <c r="J103" s="33"/>
      <c r="K103" s="33"/>
      <c r="L103" s="33"/>
      <c r="M103" s="33"/>
      <c r="N103" s="33"/>
      <c r="O103" s="81"/>
    </row>
    <row r="104" spans="1:15" s="307" customFormat="1" x14ac:dyDescent="0.2">
      <c r="A104" s="29"/>
      <c r="B104" s="32"/>
      <c r="C104" s="79"/>
      <c r="D104" s="25"/>
      <c r="E104" s="25"/>
      <c r="F104" s="33"/>
      <c r="G104" s="33"/>
      <c r="H104" s="33"/>
      <c r="I104" s="33"/>
      <c r="J104" s="33"/>
      <c r="K104" s="33"/>
      <c r="L104" s="33"/>
      <c r="M104" s="33"/>
      <c r="N104" s="33"/>
      <c r="O104" s="81"/>
    </row>
    <row r="105" spans="1:15" s="34" customFormat="1" x14ac:dyDescent="0.2">
      <c r="A105" s="29"/>
      <c r="B105" s="32"/>
      <c r="C105" s="79"/>
      <c r="D105" s="25"/>
      <c r="E105" s="25"/>
      <c r="F105" s="33"/>
      <c r="G105" s="33"/>
      <c r="H105" s="33"/>
      <c r="I105" s="33"/>
      <c r="J105" s="33"/>
      <c r="K105" s="33"/>
      <c r="L105" s="33"/>
      <c r="M105" s="33"/>
      <c r="N105" s="33"/>
      <c r="O105" s="81"/>
    </row>
    <row r="106" spans="1:15" s="34" customFormat="1" x14ac:dyDescent="0.2">
      <c r="A106" s="29"/>
      <c r="B106" s="32"/>
      <c r="C106" s="79"/>
      <c r="D106" s="25"/>
      <c r="E106" s="25"/>
      <c r="F106" s="33"/>
      <c r="G106" s="33"/>
      <c r="H106" s="33"/>
      <c r="I106" s="33"/>
      <c r="J106" s="33"/>
      <c r="K106" s="33"/>
      <c r="L106" s="33"/>
      <c r="M106" s="33"/>
      <c r="N106" s="33"/>
      <c r="O106" s="81"/>
    </row>
    <row r="107" spans="1:15" s="34" customFormat="1" x14ac:dyDescent="0.2">
      <c r="A107" s="29"/>
      <c r="B107" s="32"/>
      <c r="C107" s="79"/>
      <c r="D107" s="25"/>
      <c r="E107" s="25"/>
      <c r="F107" s="33"/>
      <c r="G107" s="33"/>
      <c r="H107" s="33"/>
      <c r="I107" s="33"/>
      <c r="J107" s="33"/>
      <c r="K107" s="33"/>
      <c r="L107" s="33"/>
      <c r="M107" s="33"/>
      <c r="N107" s="33"/>
      <c r="O107" s="81"/>
    </row>
    <row r="108" spans="1:15" s="34" customFormat="1" x14ac:dyDescent="0.2">
      <c r="A108" s="29"/>
      <c r="B108" s="32"/>
      <c r="C108" s="79"/>
      <c r="D108" s="25"/>
      <c r="E108" s="25"/>
      <c r="F108" s="33"/>
      <c r="G108" s="33"/>
      <c r="H108" s="33"/>
      <c r="I108" s="33"/>
      <c r="J108" s="33"/>
      <c r="K108" s="33"/>
      <c r="L108" s="33"/>
      <c r="M108" s="33"/>
      <c r="N108" s="33"/>
      <c r="O108" s="81"/>
    </row>
    <row r="109" spans="1:15" s="34" customFormat="1" x14ac:dyDescent="0.2">
      <c r="A109" s="29"/>
      <c r="B109" s="32"/>
      <c r="C109" s="79"/>
      <c r="D109" s="25"/>
      <c r="E109" s="25"/>
      <c r="F109" s="33"/>
      <c r="G109" s="33"/>
      <c r="H109" s="33"/>
      <c r="I109" s="33"/>
      <c r="J109" s="33"/>
      <c r="K109" s="33"/>
      <c r="L109" s="33"/>
      <c r="M109" s="33"/>
      <c r="N109" s="33"/>
      <c r="O109" s="81"/>
    </row>
    <row r="110" spans="1:15" s="34" customFormat="1" x14ac:dyDescent="0.2">
      <c r="A110" s="29"/>
      <c r="B110" s="32"/>
      <c r="C110" s="79"/>
      <c r="D110" s="25"/>
      <c r="E110" s="25"/>
      <c r="F110" s="33"/>
      <c r="G110" s="33"/>
      <c r="H110" s="33"/>
      <c r="I110" s="33"/>
      <c r="J110" s="33"/>
      <c r="K110" s="33"/>
      <c r="L110" s="33"/>
      <c r="M110" s="33"/>
      <c r="N110" s="33"/>
      <c r="O110" s="81"/>
    </row>
    <row r="111" spans="1:15" s="34" customFormat="1" x14ac:dyDescent="0.2">
      <c r="A111" s="29"/>
      <c r="B111" s="32"/>
      <c r="C111" s="79"/>
      <c r="D111" s="25"/>
      <c r="E111" s="25"/>
      <c r="F111" s="33"/>
      <c r="G111" s="33"/>
      <c r="H111" s="33"/>
      <c r="I111" s="33"/>
      <c r="J111" s="33"/>
      <c r="K111" s="33"/>
      <c r="L111" s="33"/>
      <c r="M111" s="33"/>
      <c r="N111" s="33"/>
      <c r="O111" s="81"/>
    </row>
    <row r="112" spans="1:15" s="34" customFormat="1" x14ac:dyDescent="0.2">
      <c r="A112" s="29"/>
      <c r="B112" s="32"/>
      <c r="C112" s="79"/>
      <c r="D112" s="25"/>
      <c r="E112" s="25"/>
      <c r="F112" s="33"/>
      <c r="G112" s="33"/>
      <c r="H112" s="33"/>
      <c r="I112" s="33"/>
      <c r="J112" s="33"/>
      <c r="K112" s="33"/>
      <c r="L112" s="33"/>
      <c r="M112" s="33"/>
      <c r="N112" s="33"/>
      <c r="O112" s="81"/>
    </row>
    <row r="113" spans="1:15" s="34" customFormat="1" x14ac:dyDescent="0.2">
      <c r="A113" s="29"/>
      <c r="B113" s="32"/>
      <c r="C113" s="79"/>
      <c r="D113" s="25"/>
      <c r="E113" s="25"/>
      <c r="F113" s="33"/>
      <c r="G113" s="33"/>
      <c r="H113" s="33"/>
      <c r="I113" s="33"/>
      <c r="J113" s="33"/>
      <c r="K113" s="33"/>
      <c r="L113" s="33"/>
      <c r="M113" s="33"/>
      <c r="N113" s="33"/>
      <c r="O113" s="81"/>
    </row>
    <row r="114" spans="1:15" s="34" customFormat="1" x14ac:dyDescent="0.2">
      <c r="A114" s="29"/>
      <c r="B114" s="32"/>
      <c r="C114" s="79"/>
      <c r="D114" s="25"/>
      <c r="E114" s="25"/>
      <c r="F114" s="33"/>
      <c r="G114" s="33"/>
      <c r="H114" s="33"/>
      <c r="I114" s="33"/>
      <c r="J114" s="33"/>
      <c r="K114" s="33"/>
      <c r="L114" s="33"/>
      <c r="M114" s="33"/>
      <c r="N114" s="33"/>
      <c r="O114" s="81"/>
    </row>
    <row r="115" spans="1:15" s="34" customFormat="1" x14ac:dyDescent="0.2">
      <c r="A115" s="29"/>
      <c r="B115" s="32"/>
      <c r="C115" s="79"/>
      <c r="D115" s="25"/>
      <c r="E115" s="25"/>
      <c r="F115" s="33"/>
      <c r="G115" s="33"/>
      <c r="H115" s="33"/>
      <c r="I115" s="33"/>
      <c r="J115" s="33"/>
      <c r="K115" s="33"/>
      <c r="L115" s="33"/>
      <c r="M115" s="33"/>
      <c r="N115" s="33"/>
      <c r="O115" s="81"/>
    </row>
    <row r="116" spans="1:15" s="34" customFormat="1" x14ac:dyDescent="0.2">
      <c r="A116" s="29"/>
      <c r="B116" s="32"/>
      <c r="C116" s="79"/>
      <c r="D116" s="25"/>
      <c r="E116" s="25"/>
      <c r="F116" s="33"/>
      <c r="G116" s="33"/>
      <c r="H116" s="33"/>
      <c r="I116" s="33"/>
      <c r="J116" s="33"/>
      <c r="K116" s="33"/>
      <c r="L116" s="33"/>
      <c r="M116" s="33"/>
      <c r="N116" s="33"/>
      <c r="O116" s="81"/>
    </row>
    <row r="117" spans="1:15" s="36" customFormat="1" x14ac:dyDescent="0.2">
      <c r="A117" s="29"/>
      <c r="B117" s="32"/>
      <c r="C117" s="79"/>
      <c r="D117" s="25"/>
      <c r="E117" s="25"/>
      <c r="F117" s="33"/>
      <c r="G117" s="33"/>
      <c r="H117" s="33"/>
      <c r="I117" s="33"/>
      <c r="J117" s="33"/>
      <c r="K117" s="33"/>
      <c r="L117" s="33"/>
      <c r="M117" s="33"/>
      <c r="N117" s="33"/>
      <c r="O117" s="81"/>
    </row>
    <row r="118" spans="1:15" s="36" customFormat="1" x14ac:dyDescent="0.2">
      <c r="A118" s="29"/>
      <c r="B118" s="32"/>
      <c r="C118" s="79"/>
      <c r="D118" s="25"/>
      <c r="E118" s="25"/>
      <c r="F118" s="33"/>
      <c r="G118" s="33"/>
      <c r="H118" s="33"/>
      <c r="I118" s="33"/>
      <c r="J118" s="33"/>
      <c r="K118" s="33"/>
      <c r="L118" s="33"/>
      <c r="M118" s="33"/>
      <c r="N118" s="33"/>
      <c r="O118" s="81"/>
    </row>
    <row r="119" spans="1:15" s="34" customFormat="1" x14ac:dyDescent="0.2">
      <c r="A119" s="29"/>
      <c r="B119" s="32"/>
      <c r="C119" s="79"/>
      <c r="D119" s="25"/>
      <c r="E119" s="25"/>
      <c r="F119" s="33"/>
      <c r="G119" s="33"/>
      <c r="H119" s="33"/>
      <c r="I119" s="33"/>
      <c r="J119" s="33"/>
      <c r="K119" s="33"/>
      <c r="L119" s="33"/>
      <c r="M119" s="33"/>
      <c r="N119" s="33"/>
      <c r="O119" s="81"/>
    </row>
    <row r="120" spans="1:15" s="34" customFormat="1" x14ac:dyDescent="0.2">
      <c r="A120" s="29"/>
      <c r="B120" s="32"/>
      <c r="C120" s="79"/>
      <c r="D120" s="25"/>
      <c r="E120" s="25"/>
      <c r="F120" s="33"/>
      <c r="G120" s="33"/>
      <c r="H120" s="33"/>
      <c r="I120" s="33"/>
      <c r="J120" s="33"/>
      <c r="K120" s="33"/>
      <c r="L120" s="33"/>
      <c r="M120" s="33"/>
      <c r="N120" s="33"/>
      <c r="O120" s="81"/>
    </row>
    <row r="121" spans="1:15" s="34" customFormat="1" x14ac:dyDescent="0.2">
      <c r="A121" s="29"/>
      <c r="B121" s="32"/>
      <c r="C121" s="79"/>
      <c r="D121" s="25"/>
      <c r="E121" s="25"/>
      <c r="F121" s="33"/>
      <c r="G121" s="33"/>
      <c r="H121" s="33"/>
      <c r="I121" s="33"/>
      <c r="J121" s="33"/>
      <c r="K121" s="33"/>
      <c r="L121" s="33"/>
      <c r="M121" s="33"/>
      <c r="N121" s="33"/>
      <c r="O121" s="81"/>
    </row>
    <row r="122" spans="1:15" s="34" customFormat="1" x14ac:dyDescent="0.2">
      <c r="A122" s="29"/>
      <c r="B122" s="32"/>
      <c r="C122" s="79"/>
      <c r="D122" s="25"/>
      <c r="E122" s="25"/>
      <c r="F122" s="33"/>
      <c r="G122" s="33"/>
      <c r="H122" s="33"/>
      <c r="I122" s="33"/>
      <c r="J122" s="33"/>
      <c r="K122" s="33"/>
      <c r="L122" s="33"/>
      <c r="M122" s="33"/>
      <c r="N122" s="33"/>
      <c r="O122" s="81"/>
    </row>
    <row r="123" spans="1:15" s="34" customFormat="1" x14ac:dyDescent="0.2">
      <c r="A123" s="29"/>
      <c r="B123" s="32"/>
      <c r="C123" s="79"/>
      <c r="D123" s="25"/>
      <c r="E123" s="25"/>
      <c r="F123" s="33"/>
      <c r="G123" s="33"/>
      <c r="H123" s="33"/>
      <c r="I123" s="33"/>
      <c r="J123" s="33"/>
      <c r="K123" s="33"/>
      <c r="L123" s="33"/>
      <c r="M123" s="33"/>
      <c r="N123" s="33"/>
      <c r="O123" s="81"/>
    </row>
    <row r="124" spans="1:15" s="34" customFormat="1" x14ac:dyDescent="0.2">
      <c r="A124" s="29"/>
      <c r="B124" s="32"/>
      <c r="C124" s="79"/>
      <c r="D124" s="25"/>
      <c r="E124" s="25"/>
      <c r="F124" s="33"/>
      <c r="G124" s="33"/>
      <c r="H124" s="33"/>
      <c r="I124" s="33"/>
      <c r="J124" s="33"/>
      <c r="K124" s="33"/>
      <c r="L124" s="33"/>
      <c r="M124" s="33"/>
      <c r="N124" s="33"/>
      <c r="O124" s="81"/>
    </row>
    <row r="125" spans="1:15" s="307" customFormat="1" x14ac:dyDescent="0.2">
      <c r="A125" s="29"/>
      <c r="B125" s="32"/>
      <c r="C125" s="79"/>
      <c r="D125" s="25"/>
      <c r="E125" s="25"/>
      <c r="F125" s="33"/>
      <c r="G125" s="33"/>
      <c r="H125" s="33"/>
      <c r="I125" s="33"/>
      <c r="J125" s="33"/>
      <c r="K125" s="33"/>
      <c r="L125" s="33"/>
      <c r="M125" s="33"/>
      <c r="N125" s="33"/>
      <c r="O125" s="81"/>
    </row>
    <row r="126" spans="1:15" s="34" customFormat="1" x14ac:dyDescent="0.2">
      <c r="A126" s="29"/>
      <c r="B126" s="32"/>
      <c r="C126" s="79"/>
      <c r="D126" s="25"/>
      <c r="E126" s="25"/>
      <c r="F126" s="33"/>
      <c r="G126" s="33"/>
      <c r="H126" s="33"/>
      <c r="I126" s="33"/>
      <c r="J126" s="33"/>
      <c r="K126" s="33"/>
      <c r="L126" s="33"/>
      <c r="M126" s="33"/>
      <c r="N126" s="33"/>
      <c r="O126" s="81"/>
    </row>
    <row r="127" spans="1:15" s="36" customFormat="1" x14ac:dyDescent="0.2">
      <c r="A127" s="29"/>
      <c r="B127" s="32"/>
      <c r="C127" s="79"/>
      <c r="D127" s="25"/>
      <c r="E127" s="25"/>
      <c r="F127" s="33"/>
      <c r="G127" s="33"/>
      <c r="H127" s="33"/>
      <c r="I127" s="33"/>
      <c r="J127" s="33"/>
      <c r="K127" s="33"/>
      <c r="L127" s="33"/>
      <c r="M127" s="33"/>
      <c r="N127" s="33"/>
      <c r="O127" s="81"/>
    </row>
    <row r="128" spans="1:15" s="36" customFormat="1" x14ac:dyDescent="0.2">
      <c r="A128" s="29"/>
      <c r="B128" s="32"/>
      <c r="C128" s="79"/>
      <c r="D128" s="25"/>
      <c r="E128" s="25"/>
      <c r="F128" s="33"/>
      <c r="G128" s="33"/>
      <c r="H128" s="33"/>
      <c r="I128" s="33"/>
      <c r="J128" s="33"/>
      <c r="K128" s="33"/>
      <c r="L128" s="33"/>
      <c r="M128" s="33"/>
      <c r="N128" s="33"/>
      <c r="O128" s="81"/>
    </row>
    <row r="129" spans="1:18" s="36" customFormat="1" x14ac:dyDescent="0.2">
      <c r="A129" s="29"/>
      <c r="B129" s="32"/>
      <c r="C129" s="79"/>
      <c r="D129" s="25"/>
      <c r="E129" s="25"/>
      <c r="F129" s="33"/>
      <c r="G129" s="33"/>
      <c r="H129" s="33"/>
      <c r="I129" s="33"/>
      <c r="J129" s="33"/>
      <c r="K129" s="33"/>
      <c r="L129" s="33"/>
      <c r="M129" s="33"/>
      <c r="N129" s="33"/>
      <c r="O129" s="81"/>
    </row>
    <row r="130" spans="1:18" s="34" customFormat="1" x14ac:dyDescent="0.2">
      <c r="A130" s="29"/>
      <c r="B130" s="32"/>
      <c r="C130" s="79"/>
      <c r="D130" s="25"/>
      <c r="E130" s="25"/>
      <c r="F130" s="33"/>
      <c r="G130" s="33"/>
      <c r="H130" s="33"/>
      <c r="I130" s="33"/>
      <c r="J130" s="33"/>
      <c r="K130" s="33"/>
      <c r="L130" s="33"/>
      <c r="M130" s="33"/>
      <c r="N130" s="33"/>
      <c r="O130" s="81"/>
    </row>
    <row r="131" spans="1:18" s="34" customFormat="1" x14ac:dyDescent="0.2">
      <c r="A131" s="29"/>
      <c r="B131" s="32"/>
      <c r="C131" s="79"/>
      <c r="D131" s="25"/>
      <c r="E131" s="25"/>
      <c r="F131" s="33"/>
      <c r="G131" s="33"/>
      <c r="H131" s="33"/>
      <c r="I131" s="33"/>
      <c r="J131" s="33"/>
      <c r="K131" s="33"/>
      <c r="L131" s="33"/>
      <c r="M131" s="33"/>
      <c r="N131" s="33"/>
      <c r="O131" s="81"/>
    </row>
    <row r="132" spans="1:18" s="34" customFormat="1" x14ac:dyDescent="0.2">
      <c r="A132" s="29"/>
      <c r="B132" s="32"/>
      <c r="C132" s="79"/>
      <c r="D132" s="25"/>
      <c r="E132" s="25"/>
      <c r="F132" s="33"/>
      <c r="G132" s="33"/>
      <c r="H132" s="33"/>
      <c r="I132" s="33"/>
      <c r="J132" s="33"/>
      <c r="K132" s="33"/>
      <c r="L132" s="33"/>
      <c r="M132" s="33"/>
      <c r="N132" s="33"/>
      <c r="O132" s="81"/>
    </row>
    <row r="133" spans="1:18" s="36" customFormat="1" x14ac:dyDescent="0.2">
      <c r="A133" s="29"/>
      <c r="B133" s="32"/>
      <c r="C133" s="79"/>
      <c r="D133" s="25"/>
      <c r="E133" s="25"/>
      <c r="F133" s="33"/>
      <c r="G133" s="33"/>
      <c r="H133" s="33"/>
      <c r="I133" s="33"/>
      <c r="J133" s="33"/>
      <c r="K133" s="33"/>
      <c r="L133" s="33"/>
      <c r="M133" s="33"/>
      <c r="N133" s="33"/>
      <c r="O133" s="81"/>
    </row>
    <row r="134" spans="1:18" s="34" customFormat="1" ht="35.1" customHeight="1" x14ac:dyDescent="0.2">
      <c r="A134" s="29"/>
      <c r="B134" s="32"/>
      <c r="C134" s="79"/>
      <c r="D134" s="25"/>
      <c r="E134" s="25"/>
      <c r="F134" s="33"/>
      <c r="G134" s="33"/>
      <c r="H134" s="33"/>
      <c r="I134" s="33"/>
      <c r="J134" s="33"/>
      <c r="K134" s="33"/>
      <c r="L134" s="33"/>
      <c r="M134" s="33"/>
      <c r="N134" s="33"/>
      <c r="O134" s="81"/>
    </row>
    <row r="135" spans="1:18" s="27" customFormat="1" x14ac:dyDescent="0.2">
      <c r="A135" s="29"/>
      <c r="B135" s="32"/>
      <c r="C135" s="79"/>
      <c r="D135" s="25"/>
      <c r="E135" s="25"/>
      <c r="F135" s="33"/>
      <c r="G135" s="33"/>
      <c r="H135" s="33"/>
      <c r="I135" s="33"/>
      <c r="J135" s="33"/>
      <c r="K135" s="33"/>
      <c r="L135" s="33"/>
      <c r="M135" s="33"/>
      <c r="N135" s="33"/>
      <c r="O135" s="81"/>
    </row>
    <row r="136" spans="1:18" s="27" customFormat="1" x14ac:dyDescent="0.2">
      <c r="A136" s="29"/>
      <c r="B136" s="32"/>
      <c r="C136" s="79"/>
      <c r="D136" s="25"/>
      <c r="E136" s="25"/>
      <c r="F136" s="33"/>
      <c r="G136" s="33"/>
      <c r="H136" s="33"/>
      <c r="I136" s="33"/>
      <c r="J136" s="33"/>
      <c r="K136" s="33"/>
      <c r="L136" s="33"/>
      <c r="M136" s="33"/>
      <c r="N136" s="33"/>
      <c r="O136" s="81"/>
      <c r="R136" s="172"/>
    </row>
    <row r="137" spans="1:18" s="27" customFormat="1" x14ac:dyDescent="0.2">
      <c r="A137" s="29"/>
      <c r="B137" s="32"/>
      <c r="C137" s="79"/>
      <c r="D137" s="25"/>
      <c r="E137" s="25"/>
      <c r="F137" s="33"/>
      <c r="G137" s="33"/>
      <c r="H137" s="33"/>
      <c r="I137" s="33"/>
      <c r="J137" s="33"/>
      <c r="K137" s="33"/>
      <c r="L137" s="33"/>
      <c r="M137" s="33"/>
      <c r="N137" s="33"/>
      <c r="O137" s="81"/>
    </row>
    <row r="138" spans="1:18" s="27" customFormat="1" x14ac:dyDescent="0.2">
      <c r="A138" s="29"/>
      <c r="B138" s="32"/>
      <c r="C138" s="79"/>
      <c r="D138" s="25"/>
      <c r="E138" s="25"/>
      <c r="F138" s="33"/>
      <c r="G138" s="33"/>
      <c r="H138" s="33"/>
      <c r="I138" s="33"/>
      <c r="J138" s="33"/>
      <c r="K138" s="33"/>
      <c r="L138" s="33"/>
      <c r="M138" s="33"/>
      <c r="N138" s="33"/>
      <c r="O138" s="81"/>
    </row>
    <row r="139" spans="1:18" s="27" customFormat="1" x14ac:dyDescent="0.2">
      <c r="A139" s="29"/>
      <c r="B139" s="32"/>
      <c r="C139" s="79"/>
      <c r="D139" s="25"/>
      <c r="E139" s="25"/>
      <c r="F139" s="33"/>
      <c r="G139" s="33"/>
      <c r="H139" s="33"/>
      <c r="I139" s="33"/>
      <c r="J139" s="33"/>
      <c r="K139" s="33"/>
      <c r="L139" s="33"/>
      <c r="M139" s="33"/>
      <c r="N139" s="33"/>
      <c r="O139" s="81"/>
    </row>
    <row r="140" spans="1:18" s="27" customFormat="1" x14ac:dyDescent="0.2">
      <c r="A140" s="29"/>
      <c r="B140" s="32"/>
      <c r="C140" s="79"/>
      <c r="D140" s="25"/>
      <c r="E140" s="25"/>
      <c r="F140" s="33"/>
      <c r="G140" s="33"/>
      <c r="H140" s="33"/>
      <c r="I140" s="33"/>
      <c r="J140" s="33"/>
      <c r="K140" s="33"/>
      <c r="L140" s="33"/>
      <c r="M140" s="33"/>
      <c r="N140" s="33"/>
      <c r="O140" s="81"/>
    </row>
    <row r="141" spans="1:18" s="27" customFormat="1" x14ac:dyDescent="0.2">
      <c r="A141" s="29"/>
      <c r="B141" s="32"/>
      <c r="C141" s="79"/>
      <c r="D141" s="25"/>
      <c r="E141" s="25"/>
      <c r="F141" s="33"/>
      <c r="G141" s="33"/>
      <c r="H141" s="33"/>
      <c r="I141" s="33"/>
      <c r="J141" s="33"/>
      <c r="K141" s="33"/>
      <c r="L141" s="33"/>
      <c r="M141" s="33"/>
      <c r="N141" s="33"/>
      <c r="O141" s="81"/>
    </row>
    <row r="142" spans="1:18" ht="26.25" customHeight="1" x14ac:dyDescent="0.2"/>
    <row r="149" spans="1:15" s="308" customFormat="1" x14ac:dyDescent="0.2">
      <c r="A149" s="29"/>
      <c r="B149" s="32"/>
      <c r="C149" s="79"/>
      <c r="D149" s="25"/>
      <c r="E149" s="25"/>
      <c r="F149" s="33"/>
      <c r="G149" s="33"/>
      <c r="H149" s="33"/>
      <c r="I149" s="33"/>
      <c r="J149" s="33"/>
      <c r="K149" s="33"/>
      <c r="L149" s="33"/>
      <c r="M149" s="33"/>
      <c r="N149" s="33"/>
      <c r="O149" s="81"/>
    </row>
    <row r="157" spans="1:15" s="308" customFormat="1" x14ac:dyDescent="0.2">
      <c r="A157" s="29"/>
      <c r="B157" s="32"/>
      <c r="C157" s="79"/>
      <c r="D157" s="25"/>
      <c r="E157" s="25"/>
      <c r="F157" s="33"/>
      <c r="G157" s="33"/>
      <c r="H157" s="33"/>
      <c r="I157" s="33"/>
      <c r="J157" s="33"/>
      <c r="K157" s="33"/>
      <c r="L157" s="33"/>
      <c r="M157" s="33"/>
      <c r="N157" s="33"/>
      <c r="O157" s="81"/>
    </row>
    <row r="193" spans="1:15" s="308" customFormat="1" x14ac:dyDescent="0.2">
      <c r="A193" s="29"/>
      <c r="B193" s="32"/>
      <c r="C193" s="79"/>
      <c r="D193" s="25"/>
      <c r="E193" s="25"/>
      <c r="F193" s="33"/>
      <c r="G193" s="33"/>
      <c r="H193" s="33"/>
      <c r="I193" s="33"/>
      <c r="J193" s="33"/>
      <c r="K193" s="33"/>
      <c r="L193" s="33"/>
      <c r="M193" s="33"/>
      <c r="N193" s="33"/>
      <c r="O193" s="81"/>
    </row>
    <row r="214" spans="1:15" s="308" customFormat="1" x14ac:dyDescent="0.2">
      <c r="A214" s="29"/>
      <c r="B214" s="32"/>
      <c r="C214" s="79"/>
      <c r="D214" s="25"/>
      <c r="E214" s="25"/>
      <c r="F214" s="33"/>
      <c r="G214" s="33"/>
      <c r="H214" s="33"/>
      <c r="I214" s="33"/>
      <c r="J214" s="33"/>
      <c r="K214" s="33"/>
      <c r="L214" s="33"/>
      <c r="M214" s="33"/>
      <c r="N214" s="33"/>
      <c r="O214" s="81"/>
    </row>
    <row r="234" spans="1:15" s="308" customFormat="1" x14ac:dyDescent="0.2">
      <c r="A234" s="29"/>
      <c r="B234" s="32"/>
      <c r="C234" s="79"/>
      <c r="D234" s="25"/>
      <c r="E234" s="25"/>
      <c r="F234" s="33"/>
      <c r="G234" s="33"/>
      <c r="H234" s="33"/>
      <c r="I234" s="33"/>
      <c r="J234" s="33"/>
      <c r="K234" s="33"/>
      <c r="L234" s="33"/>
      <c r="M234" s="33"/>
      <c r="N234" s="33"/>
      <c r="O234" s="81"/>
    </row>
    <row r="238" spans="1:15" s="308" customFormat="1" x14ac:dyDescent="0.2">
      <c r="A238" s="29"/>
      <c r="B238" s="32"/>
      <c r="C238" s="79"/>
      <c r="D238" s="25"/>
      <c r="E238" s="25"/>
      <c r="F238" s="33"/>
      <c r="G238" s="33"/>
      <c r="H238" s="33"/>
      <c r="I238" s="33"/>
      <c r="J238" s="33"/>
      <c r="K238" s="33"/>
      <c r="L238" s="33"/>
      <c r="M238" s="33"/>
      <c r="N238" s="33"/>
      <c r="O238" s="81"/>
    </row>
    <row r="242" spans="1:15" s="31" customFormat="1" x14ac:dyDescent="0.2">
      <c r="A242" s="29"/>
      <c r="B242" s="32"/>
      <c r="C242" s="79"/>
      <c r="D242" s="25"/>
      <c r="E242" s="25"/>
      <c r="F242" s="33"/>
      <c r="G242" s="33"/>
      <c r="H242" s="33"/>
      <c r="I242" s="33"/>
      <c r="J242" s="33"/>
      <c r="K242" s="33"/>
      <c r="L242" s="33"/>
      <c r="M242" s="33"/>
      <c r="N242" s="33"/>
      <c r="O242" s="81"/>
    </row>
    <row r="243" spans="1:15" s="311" customFormat="1" x14ac:dyDescent="0.2">
      <c r="A243" s="29"/>
      <c r="B243" s="32"/>
      <c r="C243" s="79"/>
      <c r="D243" s="25"/>
      <c r="E243" s="25"/>
      <c r="F243" s="33"/>
      <c r="G243" s="33"/>
      <c r="H243" s="33"/>
      <c r="I243" s="33"/>
      <c r="J243" s="33"/>
      <c r="K243" s="33"/>
      <c r="L243" s="33"/>
      <c r="M243" s="33"/>
      <c r="N243" s="33"/>
      <c r="O243" s="81"/>
    </row>
  </sheetData>
  <mergeCells count="5">
    <mergeCell ref="A62:B62"/>
    <mergeCell ref="B70:C70"/>
    <mergeCell ref="E70:F70"/>
    <mergeCell ref="A6:E6"/>
    <mergeCell ref="A63:L63"/>
  </mergeCells>
  <pageMargins left="0.25" right="0.25" top="0.75" bottom="0.75" header="0.3" footer="0.3"/>
  <pageSetup paperSize="9" scale="57" fitToHeight="0" orientation="landscape" r:id="rId1"/>
  <headerFooter>
    <oddHeader>&amp;RPágina &amp;P de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view="pageBreakPreview" zoomScale="66" zoomScaleNormal="100" zoomScaleSheetLayoutView="66" workbookViewId="0">
      <selection activeCell="AJ47" sqref="AJ47"/>
    </sheetView>
  </sheetViews>
  <sheetFormatPr defaultColWidth="3.7109375" defaultRowHeight="15" x14ac:dyDescent="0.2"/>
  <cols>
    <col min="1" max="8" width="8.7109375" style="37" customWidth="1"/>
    <col min="9" max="20" width="5.7109375" style="37" customWidth="1"/>
    <col min="21" max="26" width="3.7109375" style="37" customWidth="1"/>
    <col min="27" max="27" width="10.85546875" style="37" hidden="1" customWidth="1"/>
    <col min="28" max="28" width="7" style="37" hidden="1" customWidth="1"/>
    <col min="29" max="16384" width="3.7109375" style="37"/>
  </cols>
  <sheetData>
    <row r="1" spans="1:25" ht="80.099999999999994" customHeight="1" thickBot="1" x14ac:dyDescent="0.25">
      <c r="A1" s="118"/>
      <c r="B1" s="118"/>
      <c r="C1" s="118"/>
      <c r="D1" s="118"/>
    </row>
    <row r="2" spans="1:25" ht="18" x14ac:dyDescent="0.2">
      <c r="A2" s="119" t="s">
        <v>58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1"/>
    </row>
    <row r="3" spans="1:25" ht="18" x14ac:dyDescent="0.25">
      <c r="A3" s="117" t="s">
        <v>93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</row>
    <row r="4" spans="1:25" ht="5.0999999999999996" customHeight="1" x14ac:dyDescent="0.2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6"/>
      <c r="U4" s="38"/>
      <c r="V4" s="38"/>
      <c r="W4" s="38"/>
      <c r="X4" s="38"/>
      <c r="Y4" s="38"/>
    </row>
    <row r="5" spans="1:25" ht="15" customHeight="1" x14ac:dyDescent="0.2">
      <c r="A5" s="1052" t="str">
        <f>'ANEXO 01-ORÇAMENTO'!$A$5</f>
        <v>SOLICITANTE: SECRETARIA MUNICIPAL DE EDUCAÇÃO</v>
      </c>
      <c r="B5" s="1041"/>
      <c r="C5" s="1041"/>
      <c r="D5" s="1041"/>
      <c r="E5" s="1041"/>
      <c r="F5" s="1041"/>
      <c r="G5" s="1041"/>
      <c r="H5" s="1041"/>
      <c r="I5" s="1041"/>
      <c r="J5" s="1041"/>
      <c r="K5" s="1041"/>
      <c r="L5" s="1041"/>
      <c r="M5" s="1041"/>
      <c r="N5" s="1041"/>
      <c r="O5" s="1041"/>
      <c r="P5" s="1041"/>
      <c r="Q5" s="1041"/>
      <c r="R5" s="1041"/>
      <c r="S5" s="1041"/>
      <c r="T5" s="1053"/>
      <c r="U5" s="38"/>
      <c r="V5" s="38"/>
      <c r="W5" s="38"/>
      <c r="X5" s="38"/>
      <c r="Y5" s="38"/>
    </row>
    <row r="6" spans="1:25" ht="15" customHeight="1" x14ac:dyDescent="0.2">
      <c r="A6" s="1040" t="str">
        <f>'ANEXO 01-ORÇAMENTO'!$A$6</f>
        <v>OBJETO: E.M.E.F. JOÃO CERNICCHIARO</v>
      </c>
      <c r="B6" s="1041"/>
      <c r="C6" s="1041"/>
      <c r="D6" s="1041"/>
      <c r="E6" s="1041"/>
      <c r="F6" s="1041"/>
      <c r="G6" s="1041"/>
      <c r="H6" s="1041"/>
      <c r="I6" s="1041"/>
      <c r="J6" s="1041"/>
      <c r="K6" s="1041"/>
      <c r="L6" s="1041"/>
      <c r="M6" s="1041"/>
      <c r="N6" s="1041"/>
      <c r="O6" s="1041"/>
      <c r="P6" s="1041"/>
      <c r="Q6" s="1041"/>
      <c r="R6" s="1041"/>
      <c r="S6" s="1041"/>
      <c r="T6" s="127"/>
      <c r="U6" s="38"/>
      <c r="V6" s="38"/>
      <c r="W6" s="38"/>
      <c r="X6" s="38"/>
      <c r="Y6" s="38"/>
    </row>
    <row r="7" spans="1:25" ht="15" customHeight="1" x14ac:dyDescent="0.2">
      <c r="A7" s="135" t="str">
        <f>'ANEXO 01-ORÇAMENTO'!$A$7</f>
        <v>LOCAL DA OBRA: Professora Nair, Lago de Oliveira</v>
      </c>
      <c r="B7" s="128"/>
      <c r="C7" s="128"/>
      <c r="D7" s="128"/>
      <c r="E7" s="128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30"/>
      <c r="U7" s="38"/>
      <c r="V7" s="38"/>
      <c r="W7" s="38"/>
      <c r="X7" s="38"/>
      <c r="Y7" s="38"/>
    </row>
    <row r="8" spans="1:25" ht="15" customHeight="1" thickBot="1" x14ac:dyDescent="0.25">
      <c r="A8" s="131"/>
      <c r="B8" s="132"/>
      <c r="C8" s="132"/>
      <c r="D8" s="132"/>
      <c r="E8" s="132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4"/>
      <c r="U8" s="38"/>
      <c r="V8" s="38"/>
      <c r="W8" s="38"/>
      <c r="X8" s="38"/>
      <c r="Y8" s="38"/>
    </row>
    <row r="9" spans="1:25" s="38" customFormat="1" ht="15" customHeight="1" x14ac:dyDescent="0.2">
      <c r="A9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9" s="1043"/>
      <c r="C9" s="1043"/>
      <c r="D9" s="1043"/>
      <c r="E9" s="986"/>
      <c r="F9" s="986"/>
      <c r="G9" s="986"/>
      <c r="H9" s="986"/>
      <c r="I9" s="986"/>
      <c r="J9" s="986"/>
      <c r="K9" s="986"/>
      <c r="L9" s="986"/>
      <c r="M9" s="986"/>
      <c r="N9" s="986"/>
      <c r="O9" s="986"/>
      <c r="P9" s="986"/>
      <c r="Q9" s="986"/>
      <c r="R9" s="986"/>
      <c r="S9" s="986"/>
      <c r="T9" s="987"/>
    </row>
    <row r="10" spans="1:25" s="38" customFormat="1" ht="15" customHeight="1" x14ac:dyDescent="0.2">
      <c r="A10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10" s="1043"/>
      <c r="C10" s="1043"/>
      <c r="D10" s="1043"/>
      <c r="E10" s="986"/>
      <c r="F10" s="986"/>
      <c r="G10" s="986"/>
      <c r="H10" s="986"/>
      <c r="I10" s="986"/>
      <c r="J10" s="986"/>
      <c r="K10" s="986"/>
      <c r="L10" s="986"/>
      <c r="M10" s="986"/>
      <c r="N10" s="986"/>
      <c r="O10" s="986"/>
      <c r="P10" s="986"/>
      <c r="Q10" s="986"/>
      <c r="R10" s="986"/>
      <c r="S10" s="986"/>
      <c r="T10" s="987"/>
    </row>
    <row r="11" spans="1:25" s="38" customFormat="1" ht="15" customHeight="1" x14ac:dyDescent="0.2">
      <c r="A11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11" s="1043"/>
      <c r="C11" s="1043"/>
      <c r="D11" s="1043"/>
      <c r="E11" s="986"/>
      <c r="F11" s="986"/>
      <c r="G11" s="986"/>
      <c r="H11" s="986"/>
      <c r="I11" s="986"/>
      <c r="J11" s="986"/>
      <c r="K11" s="986"/>
      <c r="L11" s="986"/>
      <c r="M11" s="986"/>
      <c r="N11" s="986"/>
      <c r="O11" s="986"/>
      <c r="P11" s="986"/>
      <c r="Q11" s="986"/>
      <c r="R11" s="986"/>
      <c r="S11" s="986"/>
      <c r="T11" s="987"/>
    </row>
    <row r="12" spans="1:25" s="38" customFormat="1" ht="15" customHeight="1" x14ac:dyDescent="0.2">
      <c r="A12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12" s="1043"/>
      <c r="C12" s="1043"/>
      <c r="D12" s="1043"/>
      <c r="E12" s="986"/>
      <c r="F12" s="986"/>
      <c r="G12" s="986"/>
      <c r="H12" s="986"/>
      <c r="I12" s="986"/>
      <c r="J12" s="986"/>
      <c r="K12" s="986"/>
      <c r="L12" s="986"/>
      <c r="M12" s="986"/>
      <c r="N12" s="986"/>
      <c r="O12" s="986"/>
      <c r="P12" s="986"/>
      <c r="Q12" s="986"/>
      <c r="R12" s="986"/>
      <c r="S12" s="986"/>
      <c r="T12" s="987"/>
    </row>
    <row r="13" spans="1:25" s="38" customFormat="1" ht="15" customHeight="1" x14ac:dyDescent="0.2">
      <c r="A13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13" s="1043"/>
      <c r="C13" s="1043"/>
      <c r="D13" s="1043"/>
      <c r="E13" s="986"/>
      <c r="F13" s="986"/>
      <c r="G13" s="986"/>
      <c r="H13" s="986"/>
      <c r="I13" s="986"/>
      <c r="J13" s="986"/>
      <c r="K13" s="986"/>
      <c r="L13" s="986"/>
      <c r="M13" s="986"/>
      <c r="N13" s="986"/>
      <c r="O13" s="986"/>
      <c r="P13" s="986"/>
      <c r="Q13" s="986"/>
      <c r="R13" s="986"/>
      <c r="S13" s="986"/>
      <c r="T13" s="987"/>
    </row>
    <row r="14" spans="1:25" s="38" customFormat="1" ht="15" customHeight="1" x14ac:dyDescent="0.2">
      <c r="A14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14" s="1043"/>
      <c r="C14" s="1043"/>
      <c r="D14" s="1043"/>
      <c r="E14" s="986"/>
      <c r="F14" s="986"/>
      <c r="G14" s="986"/>
      <c r="H14" s="986"/>
      <c r="I14" s="986"/>
      <c r="J14" s="986"/>
      <c r="K14" s="986"/>
      <c r="L14" s="986"/>
      <c r="M14" s="986"/>
      <c r="N14" s="986"/>
      <c r="O14" s="986"/>
      <c r="P14" s="986"/>
      <c r="Q14" s="986"/>
      <c r="R14" s="986"/>
      <c r="S14" s="986"/>
      <c r="T14" s="987"/>
    </row>
    <row r="15" spans="1:25" s="38" customFormat="1" ht="15" customHeight="1" x14ac:dyDescent="0.2">
      <c r="A15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15" s="1043"/>
      <c r="C15" s="1043"/>
      <c r="D15" s="1043"/>
      <c r="E15" s="986"/>
      <c r="F15" s="986"/>
      <c r="G15" s="986"/>
      <c r="H15" s="986"/>
      <c r="I15" s="986"/>
      <c r="J15" s="986"/>
      <c r="K15" s="986"/>
      <c r="L15" s="986"/>
      <c r="M15" s="986"/>
      <c r="N15" s="986"/>
      <c r="O15" s="986"/>
      <c r="P15" s="986"/>
      <c r="Q15" s="986"/>
      <c r="R15" s="986"/>
      <c r="S15" s="986"/>
      <c r="T15" s="987"/>
    </row>
    <row r="16" spans="1:25" s="38" customFormat="1" ht="15" customHeight="1" x14ac:dyDescent="0.2">
      <c r="A16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16" s="1043"/>
      <c r="C16" s="1043"/>
      <c r="D16" s="1043"/>
      <c r="E16" s="986"/>
      <c r="F16" s="986"/>
      <c r="G16" s="986"/>
      <c r="H16" s="986"/>
      <c r="I16" s="986"/>
      <c r="J16" s="986"/>
      <c r="K16" s="986"/>
      <c r="L16" s="986"/>
      <c r="M16" s="986"/>
      <c r="N16" s="986"/>
      <c r="O16" s="986"/>
      <c r="P16" s="986"/>
      <c r="Q16" s="986"/>
      <c r="R16" s="986"/>
      <c r="S16" s="986"/>
      <c r="T16" s="987"/>
    </row>
    <row r="17" spans="1:20" s="38" customFormat="1" ht="15" customHeight="1" x14ac:dyDescent="0.2">
      <c r="A17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17" s="1043"/>
      <c r="C17" s="1043"/>
      <c r="D17" s="1043"/>
      <c r="E17" s="986"/>
      <c r="F17" s="986"/>
      <c r="G17" s="986"/>
      <c r="H17" s="986"/>
      <c r="I17" s="986"/>
      <c r="J17" s="986"/>
      <c r="K17" s="986"/>
      <c r="L17" s="986"/>
      <c r="M17" s="986"/>
      <c r="N17" s="986"/>
      <c r="O17" s="986"/>
      <c r="P17" s="986"/>
      <c r="Q17" s="986"/>
      <c r="R17" s="986"/>
      <c r="S17" s="986"/>
      <c r="T17" s="987"/>
    </row>
    <row r="18" spans="1:20" s="38" customFormat="1" ht="15" customHeight="1" x14ac:dyDescent="0.2">
      <c r="A18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18" s="1043"/>
      <c r="C18" s="1043"/>
      <c r="D18" s="1043"/>
      <c r="E18" s="986"/>
      <c r="F18" s="986"/>
      <c r="G18" s="986"/>
      <c r="H18" s="986"/>
      <c r="I18" s="986"/>
      <c r="J18" s="986"/>
      <c r="K18" s="986"/>
      <c r="L18" s="986"/>
      <c r="M18" s="986"/>
      <c r="N18" s="986"/>
      <c r="O18" s="986"/>
      <c r="P18" s="986"/>
      <c r="Q18" s="986"/>
      <c r="R18" s="986"/>
      <c r="S18" s="986"/>
      <c r="T18" s="987"/>
    </row>
    <row r="19" spans="1:20" s="38" customFormat="1" ht="15" customHeight="1" x14ac:dyDescent="0.2">
      <c r="A19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19" s="1043"/>
      <c r="C19" s="1043"/>
      <c r="D19" s="1043"/>
      <c r="E19" s="986"/>
      <c r="F19" s="986"/>
      <c r="G19" s="986"/>
      <c r="H19" s="986"/>
      <c r="I19" s="986"/>
      <c r="J19" s="986"/>
      <c r="K19" s="986"/>
      <c r="L19" s="986"/>
      <c r="M19" s="986"/>
      <c r="N19" s="986"/>
      <c r="O19" s="986"/>
      <c r="P19" s="986"/>
      <c r="Q19" s="986"/>
      <c r="R19" s="986"/>
      <c r="S19" s="986"/>
      <c r="T19" s="987"/>
    </row>
    <row r="20" spans="1:20" s="38" customFormat="1" ht="15" customHeight="1" x14ac:dyDescent="0.2">
      <c r="A20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20" s="1043"/>
      <c r="C20" s="1043"/>
      <c r="D20" s="1043"/>
      <c r="E20" s="986"/>
      <c r="F20" s="986"/>
      <c r="G20" s="986"/>
      <c r="H20" s="986"/>
      <c r="I20" s="986"/>
      <c r="J20" s="986"/>
      <c r="K20" s="986"/>
      <c r="L20" s="986"/>
      <c r="M20" s="986"/>
      <c r="N20" s="986"/>
      <c r="O20" s="986"/>
      <c r="P20" s="986"/>
      <c r="Q20" s="986"/>
      <c r="R20" s="986"/>
      <c r="S20" s="986"/>
      <c r="T20" s="987"/>
    </row>
    <row r="21" spans="1:20" s="38" customFormat="1" ht="15" customHeight="1" x14ac:dyDescent="0.2">
      <c r="A21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21" s="1043"/>
      <c r="C21" s="1043"/>
      <c r="D21" s="1043"/>
      <c r="E21" s="986"/>
      <c r="F21" s="986"/>
      <c r="G21" s="986"/>
      <c r="H21" s="986"/>
      <c r="I21" s="986"/>
      <c r="J21" s="986"/>
      <c r="K21" s="986"/>
      <c r="L21" s="986"/>
      <c r="M21" s="986"/>
      <c r="N21" s="986"/>
      <c r="O21" s="986"/>
      <c r="P21" s="986"/>
      <c r="Q21" s="986"/>
      <c r="R21" s="986"/>
      <c r="S21" s="986"/>
      <c r="T21" s="987"/>
    </row>
    <row r="22" spans="1:20" s="38" customFormat="1" ht="15" customHeight="1" x14ac:dyDescent="0.2">
      <c r="A22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22" s="1043"/>
      <c r="C22" s="1043"/>
      <c r="D22" s="1043"/>
      <c r="E22" s="986"/>
      <c r="F22" s="986"/>
      <c r="G22" s="986"/>
      <c r="H22" s="986"/>
      <c r="I22" s="986"/>
      <c r="J22" s="986"/>
      <c r="K22" s="986"/>
      <c r="L22" s="986"/>
      <c r="M22" s="986"/>
      <c r="N22" s="986"/>
      <c r="O22" s="986"/>
      <c r="P22" s="986"/>
      <c r="Q22" s="986"/>
      <c r="R22" s="986"/>
      <c r="S22" s="986"/>
      <c r="T22" s="987"/>
    </row>
    <row r="23" spans="1:20" s="38" customFormat="1" ht="15" customHeight="1" x14ac:dyDescent="0.2">
      <c r="A23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23" s="1043"/>
      <c r="C23" s="1043"/>
      <c r="D23" s="1043"/>
      <c r="E23" s="986"/>
      <c r="F23" s="986"/>
      <c r="G23" s="986"/>
      <c r="H23" s="986"/>
      <c r="I23" s="986"/>
      <c r="J23" s="986"/>
      <c r="K23" s="986"/>
      <c r="L23" s="986"/>
      <c r="M23" s="986"/>
      <c r="N23" s="986"/>
      <c r="O23" s="986"/>
      <c r="P23" s="986"/>
      <c r="Q23" s="986"/>
      <c r="R23" s="986"/>
      <c r="S23" s="986"/>
      <c r="T23" s="987"/>
    </row>
    <row r="24" spans="1:20" s="38" customFormat="1" ht="15" customHeight="1" x14ac:dyDescent="0.2">
      <c r="A24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24" s="1043"/>
      <c r="C24" s="1043"/>
      <c r="D24" s="1043"/>
      <c r="E24" s="986"/>
      <c r="F24" s="986"/>
      <c r="G24" s="986"/>
      <c r="H24" s="986"/>
      <c r="I24" s="986"/>
      <c r="J24" s="986"/>
      <c r="K24" s="986"/>
      <c r="L24" s="986"/>
      <c r="M24" s="986"/>
      <c r="N24" s="986"/>
      <c r="O24" s="986"/>
      <c r="P24" s="986"/>
      <c r="Q24" s="986"/>
      <c r="R24" s="986"/>
      <c r="S24" s="986"/>
      <c r="T24" s="987"/>
    </row>
    <row r="25" spans="1:20" s="38" customFormat="1" ht="15" customHeight="1" x14ac:dyDescent="0.2">
      <c r="A25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25" s="1043"/>
      <c r="C25" s="1043"/>
      <c r="D25" s="1043"/>
      <c r="E25" s="986"/>
      <c r="F25" s="986"/>
      <c r="G25" s="986"/>
      <c r="H25" s="986"/>
      <c r="I25" s="986"/>
      <c r="J25" s="986"/>
      <c r="K25" s="986"/>
      <c r="L25" s="986"/>
      <c r="M25" s="986"/>
      <c r="N25" s="986"/>
      <c r="O25" s="986"/>
      <c r="P25" s="986"/>
      <c r="Q25" s="986"/>
      <c r="R25" s="986"/>
      <c r="S25" s="986"/>
      <c r="T25" s="987"/>
    </row>
    <row r="26" spans="1:20" s="38" customFormat="1" ht="15" customHeight="1" x14ac:dyDescent="0.2">
      <c r="A26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26" s="1043"/>
      <c r="C26" s="1043"/>
      <c r="D26" s="1043"/>
      <c r="E26" s="986"/>
      <c r="F26" s="986"/>
      <c r="G26" s="986"/>
      <c r="H26" s="986"/>
      <c r="I26" s="986"/>
      <c r="J26" s="986"/>
      <c r="K26" s="986"/>
      <c r="L26" s="986"/>
      <c r="M26" s="986"/>
      <c r="N26" s="986"/>
      <c r="O26" s="986"/>
      <c r="P26" s="986"/>
      <c r="Q26" s="986"/>
      <c r="R26" s="986"/>
      <c r="S26" s="986"/>
      <c r="T26" s="987"/>
    </row>
    <row r="27" spans="1:20" s="38" customFormat="1" ht="15" customHeight="1" x14ac:dyDescent="0.2">
      <c r="A27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27" s="1043"/>
      <c r="C27" s="1043"/>
      <c r="D27" s="1043"/>
      <c r="E27" s="986"/>
      <c r="F27" s="986"/>
      <c r="G27" s="986"/>
      <c r="H27" s="986"/>
      <c r="I27" s="986"/>
      <c r="J27" s="986"/>
      <c r="K27" s="986"/>
      <c r="L27" s="986"/>
      <c r="M27" s="986"/>
      <c r="N27" s="986"/>
      <c r="O27" s="986"/>
      <c r="P27" s="986"/>
      <c r="Q27" s="986"/>
      <c r="R27" s="986"/>
      <c r="S27" s="986"/>
      <c r="T27" s="987"/>
    </row>
    <row r="28" spans="1:20" s="38" customFormat="1" ht="15" customHeight="1" x14ac:dyDescent="0.2">
      <c r="A28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28" s="1043"/>
      <c r="C28" s="1043"/>
      <c r="D28" s="1043"/>
      <c r="E28" s="986"/>
      <c r="F28" s="986"/>
      <c r="G28" s="986"/>
      <c r="H28" s="986"/>
      <c r="I28" s="986"/>
      <c r="J28" s="986"/>
      <c r="K28" s="986"/>
      <c r="L28" s="986"/>
      <c r="M28" s="986"/>
      <c r="N28" s="986"/>
      <c r="O28" s="986"/>
      <c r="P28" s="986"/>
      <c r="Q28" s="986"/>
      <c r="R28" s="986"/>
      <c r="S28" s="986"/>
      <c r="T28" s="987"/>
    </row>
    <row r="29" spans="1:20" s="38" customFormat="1" ht="15" customHeight="1" x14ac:dyDescent="0.2">
      <c r="A29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29" s="1043"/>
      <c r="C29" s="1043"/>
      <c r="D29" s="1043"/>
      <c r="E29" s="986"/>
      <c r="F29" s="986"/>
      <c r="G29" s="986"/>
      <c r="H29" s="986"/>
      <c r="I29" s="986"/>
      <c r="J29" s="986"/>
      <c r="K29" s="986"/>
      <c r="L29" s="986"/>
      <c r="M29" s="986"/>
      <c r="N29" s="986"/>
      <c r="O29" s="986"/>
      <c r="P29" s="986"/>
      <c r="Q29" s="986"/>
      <c r="R29" s="986"/>
      <c r="S29" s="986"/>
      <c r="T29" s="987"/>
    </row>
    <row r="30" spans="1:20" s="38" customFormat="1" ht="15" customHeight="1" x14ac:dyDescent="0.2">
      <c r="A30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30" s="1043"/>
      <c r="C30" s="1043"/>
      <c r="D30" s="1043"/>
      <c r="E30" s="986"/>
      <c r="F30" s="986"/>
      <c r="G30" s="986"/>
      <c r="H30" s="986"/>
      <c r="I30" s="986"/>
      <c r="J30" s="986"/>
      <c r="K30" s="986"/>
      <c r="L30" s="986"/>
      <c r="M30" s="986"/>
      <c r="N30" s="986"/>
      <c r="O30" s="986"/>
      <c r="P30" s="986"/>
      <c r="Q30" s="986"/>
      <c r="R30" s="986"/>
      <c r="S30" s="986"/>
      <c r="T30" s="987"/>
    </row>
    <row r="31" spans="1:20" s="38" customFormat="1" ht="15" customHeight="1" x14ac:dyDescent="0.2">
      <c r="A31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31" s="1043"/>
      <c r="C31" s="1043"/>
      <c r="D31" s="1043"/>
      <c r="E31" s="986"/>
      <c r="F31" s="986"/>
      <c r="G31" s="986"/>
      <c r="H31" s="986"/>
      <c r="I31" s="986"/>
      <c r="J31" s="986"/>
      <c r="K31" s="986"/>
      <c r="L31" s="986"/>
      <c r="M31" s="986"/>
      <c r="N31" s="986"/>
      <c r="O31" s="986"/>
      <c r="P31" s="986"/>
      <c r="Q31" s="986"/>
      <c r="R31" s="986"/>
      <c r="S31" s="986"/>
      <c r="T31" s="987"/>
    </row>
    <row r="32" spans="1:20" s="38" customFormat="1" ht="15" customHeight="1" x14ac:dyDescent="0.2">
      <c r="A32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32" s="1043"/>
      <c r="C32" s="1043"/>
      <c r="D32" s="1043"/>
      <c r="E32" s="986"/>
      <c r="F32" s="986"/>
      <c r="G32" s="986"/>
      <c r="H32" s="986"/>
      <c r="I32" s="986"/>
      <c r="J32" s="986"/>
      <c r="K32" s="986"/>
      <c r="L32" s="986"/>
      <c r="M32" s="986"/>
      <c r="N32" s="986"/>
      <c r="O32" s="986"/>
      <c r="P32" s="986"/>
      <c r="Q32" s="986"/>
      <c r="R32" s="986"/>
      <c r="S32" s="986"/>
      <c r="T32" s="987"/>
    </row>
    <row r="33" spans="1:20" s="38" customFormat="1" ht="15" customHeight="1" x14ac:dyDescent="0.2">
      <c r="A33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33" s="1043"/>
      <c r="C33" s="1043"/>
      <c r="D33" s="1043"/>
      <c r="E33" s="986"/>
      <c r="F33" s="986"/>
      <c r="G33" s="986"/>
      <c r="H33" s="986"/>
      <c r="I33" s="986"/>
      <c r="J33" s="986"/>
      <c r="K33" s="986"/>
      <c r="L33" s="986"/>
      <c r="M33" s="986"/>
      <c r="N33" s="986"/>
      <c r="O33" s="986"/>
      <c r="P33" s="986"/>
      <c r="Q33" s="986"/>
      <c r="R33" s="986"/>
      <c r="S33" s="986"/>
      <c r="T33" s="987"/>
    </row>
    <row r="34" spans="1:20" s="38" customFormat="1" ht="15" customHeight="1" x14ac:dyDescent="0.2">
      <c r="A34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34" s="1043"/>
      <c r="C34" s="1043"/>
      <c r="D34" s="1043"/>
      <c r="E34" s="986"/>
      <c r="F34" s="986"/>
      <c r="G34" s="986"/>
      <c r="H34" s="986"/>
      <c r="I34" s="986"/>
      <c r="J34" s="986"/>
      <c r="K34" s="986"/>
      <c r="L34" s="986"/>
      <c r="M34" s="986"/>
      <c r="N34" s="986"/>
      <c r="O34" s="986"/>
      <c r="P34" s="986"/>
      <c r="Q34" s="986"/>
      <c r="R34" s="986"/>
      <c r="S34" s="986"/>
      <c r="T34" s="987"/>
    </row>
    <row r="35" spans="1:20" s="38" customFormat="1" ht="15" customHeight="1" x14ac:dyDescent="0.2">
      <c r="A35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35" s="1043"/>
      <c r="C35" s="1043"/>
      <c r="D35" s="1043"/>
      <c r="E35" s="986"/>
      <c r="F35" s="986"/>
      <c r="G35" s="986"/>
      <c r="H35" s="986"/>
      <c r="I35" s="986"/>
      <c r="J35" s="986"/>
      <c r="K35" s="986"/>
      <c r="L35" s="986"/>
      <c r="M35" s="986"/>
      <c r="N35" s="986"/>
      <c r="O35" s="986"/>
      <c r="P35" s="986"/>
      <c r="Q35" s="986"/>
      <c r="R35" s="986"/>
      <c r="S35" s="986"/>
      <c r="T35" s="987"/>
    </row>
    <row r="36" spans="1:20" s="38" customFormat="1" ht="15" customHeight="1" x14ac:dyDescent="0.2">
      <c r="A36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36" s="1043"/>
      <c r="C36" s="1043"/>
      <c r="D36" s="1043"/>
      <c r="E36" s="986"/>
      <c r="F36" s="986"/>
      <c r="G36" s="986"/>
      <c r="H36" s="986"/>
      <c r="I36" s="986"/>
      <c r="J36" s="986"/>
      <c r="K36" s="986"/>
      <c r="L36" s="986"/>
      <c r="M36" s="986"/>
      <c r="N36" s="986"/>
      <c r="O36" s="986"/>
      <c r="P36" s="986"/>
      <c r="Q36" s="986"/>
      <c r="R36" s="986"/>
      <c r="S36" s="986"/>
      <c r="T36" s="987"/>
    </row>
    <row r="37" spans="1:20" s="38" customFormat="1" ht="15" customHeight="1" x14ac:dyDescent="0.2">
      <c r="A37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37" s="1043"/>
      <c r="C37" s="1043"/>
      <c r="D37" s="1043"/>
      <c r="E37" s="986"/>
      <c r="F37" s="986"/>
      <c r="G37" s="986"/>
      <c r="H37" s="986"/>
      <c r="I37" s="986"/>
      <c r="J37" s="986"/>
      <c r="K37" s="986"/>
      <c r="L37" s="986"/>
      <c r="M37" s="986"/>
      <c r="N37" s="986"/>
      <c r="O37" s="986"/>
      <c r="P37" s="986"/>
      <c r="Q37" s="986"/>
      <c r="R37" s="986"/>
      <c r="S37" s="986"/>
      <c r="T37" s="987"/>
    </row>
    <row r="38" spans="1:20" s="38" customFormat="1" ht="15" customHeight="1" x14ac:dyDescent="0.2">
      <c r="A38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38" s="1043"/>
      <c r="C38" s="1043"/>
      <c r="D38" s="1043"/>
      <c r="E38" s="986"/>
      <c r="F38" s="986"/>
      <c r="G38" s="986"/>
      <c r="H38" s="986"/>
      <c r="I38" s="986"/>
      <c r="J38" s="986"/>
      <c r="K38" s="986"/>
      <c r="L38" s="986"/>
      <c r="M38" s="986"/>
      <c r="N38" s="986"/>
      <c r="O38" s="986"/>
      <c r="P38" s="986"/>
      <c r="Q38" s="986"/>
      <c r="R38" s="986"/>
      <c r="S38" s="986"/>
      <c r="T38" s="987"/>
    </row>
    <row r="39" spans="1:20" s="38" customFormat="1" ht="15" customHeight="1" x14ac:dyDescent="0.2">
      <c r="A39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39" s="1043"/>
      <c r="C39" s="1043"/>
      <c r="D39" s="1043"/>
      <c r="E39" s="986"/>
      <c r="F39" s="986"/>
      <c r="G39" s="986"/>
      <c r="H39" s="986"/>
      <c r="I39" s="986"/>
      <c r="J39" s="986"/>
      <c r="K39" s="986"/>
      <c r="L39" s="986"/>
      <c r="M39" s="986"/>
      <c r="N39" s="986"/>
      <c r="O39" s="986"/>
      <c r="P39" s="986"/>
      <c r="Q39" s="986"/>
      <c r="R39" s="986"/>
      <c r="S39" s="986"/>
      <c r="T39" s="987"/>
    </row>
    <row r="40" spans="1:20" s="38" customFormat="1" ht="15" customHeight="1" x14ac:dyDescent="0.2">
      <c r="A40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40" s="1043"/>
      <c r="C40" s="1043"/>
      <c r="D40" s="1043"/>
      <c r="E40" s="986"/>
      <c r="F40" s="986"/>
      <c r="G40" s="986"/>
      <c r="H40" s="986"/>
      <c r="I40" s="986"/>
      <c r="J40" s="986"/>
      <c r="K40" s="986"/>
      <c r="L40" s="986"/>
      <c r="M40" s="986"/>
      <c r="N40" s="986"/>
      <c r="O40" s="986"/>
      <c r="P40" s="986"/>
      <c r="Q40" s="986"/>
      <c r="R40" s="986"/>
      <c r="S40" s="986"/>
      <c r="T40" s="987"/>
    </row>
    <row r="41" spans="1:20" s="38" customFormat="1" ht="15" customHeight="1" x14ac:dyDescent="0.2">
      <c r="A41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41" s="1043"/>
      <c r="C41" s="1043"/>
      <c r="D41" s="1043"/>
      <c r="E41" s="986"/>
      <c r="F41" s="986"/>
      <c r="G41" s="986"/>
      <c r="H41" s="986"/>
      <c r="I41" s="986"/>
      <c r="J41" s="986"/>
      <c r="K41" s="986"/>
      <c r="L41" s="986"/>
      <c r="M41" s="986"/>
      <c r="N41" s="986"/>
      <c r="O41" s="986"/>
      <c r="P41" s="986"/>
      <c r="Q41" s="986"/>
      <c r="R41" s="986"/>
      <c r="S41" s="986"/>
      <c r="T41" s="987"/>
    </row>
    <row r="42" spans="1:20" s="38" customFormat="1" ht="15" customHeight="1" x14ac:dyDescent="0.2">
      <c r="A42" s="1042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42" s="1043"/>
      <c r="C42" s="1043"/>
      <c r="D42" s="1043"/>
      <c r="E42" s="986"/>
      <c r="F42" s="986"/>
      <c r="G42" s="986"/>
      <c r="H42" s="986"/>
      <c r="I42" s="986"/>
      <c r="J42" s="986"/>
      <c r="K42" s="986"/>
      <c r="L42" s="986"/>
      <c r="M42" s="986"/>
      <c r="N42" s="986"/>
      <c r="O42" s="986"/>
      <c r="P42" s="986"/>
      <c r="Q42" s="986"/>
      <c r="R42" s="986"/>
      <c r="S42" s="986"/>
      <c r="T42" s="987"/>
    </row>
    <row r="43" spans="1:20" s="38" customFormat="1" ht="15" customHeight="1" x14ac:dyDescent="0.2">
      <c r="A43" s="985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43" s="986"/>
      <c r="C43" s="986"/>
      <c r="D43" s="986"/>
      <c r="E43" s="986"/>
      <c r="F43" s="986"/>
      <c r="G43" s="986"/>
      <c r="H43" s="986"/>
      <c r="I43" s="986"/>
      <c r="J43" s="986"/>
      <c r="K43" s="986"/>
      <c r="L43" s="986"/>
      <c r="M43" s="986"/>
      <c r="N43" s="986"/>
      <c r="O43" s="986"/>
      <c r="P43" s="986"/>
      <c r="Q43" s="986"/>
      <c r="R43" s="986"/>
      <c r="S43" s="986"/>
      <c r="T43" s="987"/>
    </row>
    <row r="44" spans="1:20" s="38" customFormat="1" ht="15" customHeight="1" x14ac:dyDescent="0.2">
      <c r="A44" s="985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44" s="986"/>
      <c r="C44" s="986"/>
      <c r="D44" s="986"/>
      <c r="E44" s="986"/>
      <c r="F44" s="986"/>
      <c r="G44" s="986"/>
      <c r="H44" s="986"/>
      <c r="I44" s="986"/>
      <c r="J44" s="986"/>
      <c r="K44" s="986"/>
      <c r="L44" s="986"/>
      <c r="M44" s="986"/>
      <c r="N44" s="986"/>
      <c r="O44" s="986"/>
      <c r="P44" s="986"/>
      <c r="Q44" s="986"/>
      <c r="R44" s="986"/>
      <c r="S44" s="986"/>
      <c r="T44" s="987"/>
    </row>
    <row r="45" spans="1:20" s="38" customFormat="1" ht="15" customHeight="1" x14ac:dyDescent="0.2">
      <c r="A45" s="985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45" s="986"/>
      <c r="C45" s="986"/>
      <c r="D45" s="986"/>
      <c r="E45" s="986"/>
      <c r="F45" s="986"/>
      <c r="G45" s="986"/>
      <c r="H45" s="986"/>
      <c r="I45" s="986"/>
      <c r="J45" s="986"/>
      <c r="K45" s="986"/>
      <c r="L45" s="986"/>
      <c r="M45" s="986"/>
      <c r="N45" s="986"/>
      <c r="O45" s="986"/>
      <c r="P45" s="986"/>
      <c r="Q45" s="986"/>
      <c r="R45" s="986"/>
      <c r="S45" s="986"/>
      <c r="T45" s="987"/>
    </row>
    <row r="46" spans="1:20" s="38" customFormat="1" ht="15" customHeight="1" x14ac:dyDescent="0.2">
      <c r="A46" s="985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46" s="986"/>
      <c r="C46" s="986"/>
      <c r="D46" s="986"/>
      <c r="E46" s="986"/>
      <c r="F46" s="986"/>
      <c r="G46" s="986"/>
      <c r="H46" s="986"/>
      <c r="I46" s="986"/>
      <c r="J46" s="986"/>
      <c r="K46" s="986"/>
      <c r="L46" s="986"/>
      <c r="M46" s="986"/>
      <c r="N46" s="986"/>
      <c r="O46" s="986"/>
      <c r="P46" s="986"/>
      <c r="Q46" s="986"/>
      <c r="R46" s="986"/>
      <c r="S46" s="986"/>
      <c r="T46" s="987"/>
    </row>
    <row r="47" spans="1:20" s="38" customFormat="1" ht="15" customHeight="1" x14ac:dyDescent="0.2">
      <c r="A47" s="985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47" s="986"/>
      <c r="C47" s="986"/>
      <c r="D47" s="986"/>
      <c r="E47" s="986"/>
      <c r="F47" s="986"/>
      <c r="G47" s="986"/>
      <c r="H47" s="986"/>
      <c r="I47" s="986"/>
      <c r="J47" s="986"/>
      <c r="K47" s="986"/>
      <c r="L47" s="986"/>
      <c r="M47" s="986"/>
      <c r="N47" s="986"/>
      <c r="O47" s="986"/>
      <c r="P47" s="986"/>
      <c r="Q47" s="986"/>
      <c r="R47" s="986"/>
      <c r="S47" s="986"/>
      <c r="T47" s="987"/>
    </row>
    <row r="48" spans="1:20" s="38" customFormat="1" ht="15" customHeight="1" x14ac:dyDescent="0.2">
      <c r="A48" s="985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48" s="986"/>
      <c r="C48" s="986"/>
      <c r="D48" s="986"/>
      <c r="E48" s="986"/>
      <c r="F48" s="986"/>
      <c r="G48" s="986"/>
      <c r="H48" s="986"/>
      <c r="I48" s="986"/>
      <c r="J48" s="986"/>
      <c r="K48" s="986"/>
      <c r="L48" s="986"/>
      <c r="M48" s="986"/>
      <c r="N48" s="986"/>
      <c r="O48" s="986"/>
      <c r="P48" s="986"/>
      <c r="Q48" s="986"/>
      <c r="R48" s="986"/>
      <c r="S48" s="986"/>
      <c r="T48" s="987"/>
    </row>
    <row r="49" spans="1:20" s="38" customFormat="1" ht="15" customHeight="1" x14ac:dyDescent="0.2">
      <c r="A49" s="985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49" s="986"/>
      <c r="C49" s="986"/>
      <c r="D49" s="986"/>
      <c r="E49" s="986"/>
      <c r="F49" s="986"/>
      <c r="G49" s="986"/>
      <c r="H49" s="986"/>
      <c r="I49" s="986"/>
      <c r="J49" s="986"/>
      <c r="K49" s="986"/>
      <c r="L49" s="986"/>
      <c r="M49" s="986"/>
      <c r="N49" s="986"/>
      <c r="O49" s="986"/>
      <c r="P49" s="986"/>
      <c r="Q49" s="986"/>
      <c r="R49" s="986"/>
      <c r="S49" s="986"/>
      <c r="T49" s="987"/>
    </row>
    <row r="50" spans="1:20" s="38" customFormat="1" ht="15" customHeight="1" x14ac:dyDescent="0.2">
      <c r="A50" s="985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50" s="986"/>
      <c r="C50" s="986"/>
      <c r="D50" s="986"/>
      <c r="E50" s="986"/>
      <c r="F50" s="986"/>
      <c r="G50" s="986"/>
      <c r="H50" s="986"/>
      <c r="I50" s="986"/>
      <c r="J50" s="986"/>
      <c r="K50" s="986"/>
      <c r="L50" s="986"/>
      <c r="M50" s="986"/>
      <c r="N50" s="986"/>
      <c r="O50" s="986"/>
      <c r="P50" s="986"/>
      <c r="Q50" s="986"/>
      <c r="R50" s="986"/>
      <c r="S50" s="986"/>
      <c r="T50" s="987"/>
    </row>
    <row r="51" spans="1:20" s="38" customFormat="1" ht="15" customHeight="1" x14ac:dyDescent="0.2">
      <c r="A51" s="985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51" s="986"/>
      <c r="C51" s="986"/>
      <c r="D51" s="986"/>
      <c r="E51" s="986"/>
      <c r="F51" s="986"/>
      <c r="G51" s="986"/>
      <c r="H51" s="986"/>
      <c r="I51" s="986"/>
      <c r="J51" s="986"/>
      <c r="K51" s="986"/>
      <c r="L51" s="986"/>
      <c r="M51" s="986"/>
      <c r="N51" s="986"/>
      <c r="O51" s="986"/>
      <c r="P51" s="986"/>
      <c r="Q51" s="986"/>
      <c r="R51" s="986"/>
      <c r="S51" s="986"/>
      <c r="T51" s="987"/>
    </row>
    <row r="52" spans="1:20" s="38" customFormat="1" ht="15" customHeight="1" x14ac:dyDescent="0.2">
      <c r="A52" s="985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52" s="986"/>
      <c r="C52" s="986"/>
      <c r="D52" s="986"/>
      <c r="E52" s="986"/>
      <c r="F52" s="986"/>
      <c r="G52" s="986"/>
      <c r="H52" s="986"/>
      <c r="I52" s="986"/>
      <c r="J52" s="986"/>
      <c r="K52" s="986"/>
      <c r="L52" s="986"/>
      <c r="M52" s="986"/>
      <c r="N52" s="986"/>
      <c r="O52" s="986"/>
      <c r="P52" s="986"/>
      <c r="Q52" s="986"/>
      <c r="R52" s="986"/>
      <c r="S52" s="986"/>
      <c r="T52" s="987"/>
    </row>
    <row r="53" spans="1:20" s="38" customFormat="1" ht="15" customHeight="1" x14ac:dyDescent="0.2">
      <c r="A53" s="985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53" s="986"/>
      <c r="C53" s="986"/>
      <c r="D53" s="986"/>
      <c r="E53" s="986"/>
      <c r="F53" s="986"/>
      <c r="G53" s="986"/>
      <c r="H53" s="986"/>
      <c r="I53" s="986"/>
      <c r="J53" s="986"/>
      <c r="K53" s="986"/>
      <c r="L53" s="986"/>
      <c r="M53" s="986"/>
      <c r="N53" s="986"/>
      <c r="O53" s="986"/>
      <c r="P53" s="986"/>
      <c r="Q53" s="986"/>
      <c r="R53" s="986"/>
      <c r="S53" s="986"/>
      <c r="T53" s="987"/>
    </row>
    <row r="54" spans="1:20" s="38" customFormat="1" ht="15" customHeight="1" x14ac:dyDescent="0.2">
      <c r="A54" s="985" t="e">
        <f>IF(OR(#REF!&lt;&gt;"OK",#REF!&lt;&gt;"OK",#REF!&lt;&gt;"OK",#REF!&lt;&gt;"OK",#REF!&lt;&gt;"OK",#REF!&lt;&gt;"OK",#REF!&lt;&gt;"OK",#REF!&lt;&gt;"OK"),"Há parcela(s) componente(s) do BDI com valor(s) diferente(s) dos admitidos pelo Acórdão TCU Plenária 2622/2013.",".")</f>
        <v>#REF!</v>
      </c>
      <c r="B54" s="986"/>
      <c r="C54" s="986"/>
      <c r="D54" s="986"/>
      <c r="E54" s="986"/>
      <c r="F54" s="986"/>
      <c r="G54" s="986"/>
      <c r="H54" s="986"/>
      <c r="I54" s="986"/>
      <c r="J54" s="986"/>
      <c r="K54" s="986"/>
      <c r="L54" s="986"/>
      <c r="M54" s="986"/>
      <c r="N54" s="986"/>
      <c r="O54" s="986"/>
      <c r="P54" s="986"/>
      <c r="Q54" s="986"/>
      <c r="R54" s="986"/>
      <c r="S54" s="986"/>
      <c r="T54" s="987"/>
    </row>
    <row r="55" spans="1:20" s="38" customFormat="1" ht="15" customHeight="1" x14ac:dyDescent="0.2">
      <c r="A55" s="985" t="e">
        <f>IF(#REF!&lt;&gt;"OK", "O valor de BDI sem a desoneração está fora da faixa admitida no Acórdão TCU Plenária 2622/2013.",".")</f>
        <v>#REF!</v>
      </c>
      <c r="B55" s="986"/>
      <c r="C55" s="986"/>
      <c r="D55" s="986"/>
      <c r="E55" s="986"/>
      <c r="F55" s="986"/>
      <c r="G55" s="986"/>
      <c r="H55" s="986"/>
      <c r="I55" s="986"/>
      <c r="J55" s="986"/>
      <c r="K55" s="986"/>
      <c r="L55" s="986"/>
      <c r="M55" s="986"/>
      <c r="N55" s="986"/>
      <c r="O55" s="986"/>
      <c r="P55" s="986"/>
      <c r="Q55" s="986"/>
      <c r="R55" s="986"/>
      <c r="S55" s="986"/>
      <c r="T55" s="987"/>
    </row>
    <row r="56" spans="1:20" s="38" customFormat="1" ht="18" x14ac:dyDescent="0.2">
      <c r="A56" s="1013" t="s">
        <v>94</v>
      </c>
      <c r="B56" s="1014"/>
      <c r="C56" s="1014"/>
      <c r="D56" s="1014"/>
      <c r="E56" s="1014"/>
      <c r="F56" s="1014"/>
      <c r="G56" s="1014"/>
      <c r="H56" s="1014"/>
      <c r="I56" s="1014"/>
      <c r="J56" s="1014"/>
      <c r="K56" s="1014"/>
      <c r="L56" s="1014"/>
      <c r="M56" s="1014"/>
      <c r="N56" s="1014"/>
      <c r="O56" s="1014"/>
      <c r="P56" s="1014"/>
      <c r="Q56" s="1014"/>
      <c r="R56" s="1014"/>
      <c r="S56" s="1014"/>
      <c r="T56" s="1015"/>
    </row>
    <row r="57" spans="1:20" s="38" customFormat="1" ht="151.5" customHeight="1" x14ac:dyDescent="0.2">
      <c r="A57" s="1016" t="str">
        <f>"DECLARO que no orçamento foi aplicado a contribuição previdenciária COM DESONERAÇÃO, conforme Lei nº 12.844/2013 e Acórdão 2293/2013-TCU -Plenário (Desoneração da Folha de Pagamento)."&amp;"
"&amp;"
"&amp;"DECLARO que o percentual de encargos sociais utilizados no valor da mão-de-obra do orçamento são os encargos sociais praticados pelo SINAPI e/ou SICRO."&amp;"
"&amp;"
"&amp;"DECLARO que o orçamento da obra foi verificado com os custos nas duas possibilidades de CONTRIBUIÇÃO PREVIDENCIÁRIA e foi adotada a modalidade "&amp;IF([1]Plan4!B26=1,"COM DESONERAÇÃO"&amp;" por ser a mais adequada ao município "&amp;F5&amp;".",IF([1]Plan4!B26=2,"SEM DESONERAÇÃO","")&amp;" por ser a mais adequada ao município.")</f>
        <v>DECLARO que no orçamento foi aplicado a contribuição previdenciária COM DESONERAÇÃO, conforme Lei nº 12.844/2013 e Acórdão 2293/2013-TCU -Plenário (Desoneração da Folha de Pagamento).
DECLARO que o percentual de encargos sociais utilizados no valor da mão-de-obra do orçamento são os encargos sociais praticados pelo SINAPI e/ou SICRO.
DECLARO que o orçamento da obra foi verificado com os custos nas duas possibilidades de CONTRIBUIÇÃO PREVIDENCIÁRIA e foi adotada a modalidade COM DESONERAÇÃO por ser a mais adequada ao município .</v>
      </c>
      <c r="B57" s="1017"/>
      <c r="C57" s="1017"/>
      <c r="D57" s="1017"/>
      <c r="E57" s="1017"/>
      <c r="F57" s="1017"/>
      <c r="G57" s="1017"/>
      <c r="H57" s="1017"/>
      <c r="I57" s="1017"/>
      <c r="J57" s="1017"/>
      <c r="K57" s="1017"/>
      <c r="L57" s="1017"/>
      <c r="M57" s="1017"/>
      <c r="N57" s="1017"/>
      <c r="O57" s="1017"/>
      <c r="P57" s="1017"/>
      <c r="Q57" s="1017"/>
      <c r="R57" s="1017"/>
      <c r="S57" s="1017"/>
      <c r="T57" s="1018"/>
    </row>
    <row r="58" spans="1:20" ht="15" customHeight="1" x14ac:dyDescent="0.2">
      <c r="A58" s="1046"/>
      <c r="B58" s="1047"/>
      <c r="C58" s="1047"/>
      <c r="D58" s="1047"/>
      <c r="E58" s="1047"/>
      <c r="F58" s="1047"/>
      <c r="G58" s="1047"/>
      <c r="H58" s="1047"/>
      <c r="I58" s="1047"/>
      <c r="J58" s="1047"/>
      <c r="K58" s="1047"/>
      <c r="L58" s="1047"/>
      <c r="M58" s="1047"/>
      <c r="N58" s="1047"/>
      <c r="O58" s="1047"/>
      <c r="P58" s="1047"/>
      <c r="Q58" s="1047"/>
      <c r="R58" s="1047"/>
      <c r="S58" s="1047"/>
      <c r="T58" s="1048"/>
    </row>
    <row r="59" spans="1:20" s="57" customFormat="1" ht="24" customHeight="1" x14ac:dyDescent="0.2">
      <c r="A59" s="1004"/>
      <c r="B59" s="1005"/>
      <c r="C59" s="1005"/>
      <c r="D59" s="1005"/>
      <c r="E59" s="1005"/>
      <c r="F59" s="1005"/>
      <c r="G59" s="1005"/>
      <c r="H59" s="1005"/>
      <c r="I59" s="1049">
        <f>'ANEXO 02-BDI'!$I$31</f>
        <v>0</v>
      </c>
      <c r="J59" s="1050"/>
      <c r="K59" s="1050"/>
      <c r="L59" s="1050"/>
      <c r="M59" s="1050"/>
      <c r="N59" s="1050"/>
      <c r="O59" s="1050"/>
      <c r="P59" s="1050"/>
      <c r="Q59" s="1050"/>
      <c r="R59" s="1050"/>
      <c r="S59" s="1050"/>
      <c r="T59" s="1051"/>
    </row>
    <row r="60" spans="1:20" s="57" customFormat="1" ht="24" customHeight="1" x14ac:dyDescent="0.2">
      <c r="A60" s="1009"/>
      <c r="B60" s="1010"/>
      <c r="C60" s="1010"/>
      <c r="D60" s="1010"/>
      <c r="E60" s="1010"/>
      <c r="F60" s="1010"/>
      <c r="G60" s="1010"/>
      <c r="H60" s="1010"/>
      <c r="I60" s="1011" t="s">
        <v>79</v>
      </c>
      <c r="J60" s="1011"/>
      <c r="K60" s="1011"/>
      <c r="L60" s="1011"/>
      <c r="M60" s="1011"/>
      <c r="N60" s="1011"/>
      <c r="O60" s="1011"/>
      <c r="P60" s="1011"/>
      <c r="Q60" s="1011"/>
      <c r="R60" s="1011"/>
      <c r="S60" s="1011"/>
      <c r="T60" s="1012"/>
    </row>
    <row r="61" spans="1:20" s="57" customFormat="1" ht="24" customHeight="1" x14ac:dyDescent="0.2">
      <c r="A61" s="1023" t="s">
        <v>95</v>
      </c>
      <c r="B61" s="1024"/>
      <c r="C61" s="1024"/>
      <c r="D61" s="1024"/>
      <c r="E61" s="1024"/>
      <c r="F61" s="1024"/>
      <c r="G61" s="1024"/>
      <c r="H61" s="1024"/>
      <c r="I61" s="1025">
        <f>'ANEXO 01-ORÇAMENTO'!B360</f>
        <v>44634</v>
      </c>
      <c r="J61" s="1025"/>
      <c r="K61" s="1025"/>
      <c r="L61" s="1025"/>
      <c r="M61" s="1025"/>
      <c r="N61" s="1025"/>
      <c r="O61" s="1025"/>
      <c r="P61" s="1025"/>
      <c r="Q61" s="1025"/>
      <c r="R61" s="1025"/>
      <c r="S61" s="1025"/>
      <c r="T61" s="1054"/>
    </row>
    <row r="62" spans="1:20" s="57" customFormat="1" ht="24" customHeight="1" x14ac:dyDescent="0.2">
      <c r="A62" s="1028" t="s">
        <v>59</v>
      </c>
      <c r="B62" s="1029"/>
      <c r="C62" s="1029"/>
      <c r="D62" s="1029"/>
      <c r="E62" s="1029"/>
      <c r="F62" s="1029"/>
      <c r="G62" s="1029"/>
      <c r="H62" s="1029"/>
      <c r="I62" s="1044">
        <f>'ANEXO 01-ORÇAMENTO'!A361</f>
        <v>0</v>
      </c>
      <c r="J62" s="1044"/>
      <c r="K62" s="1044"/>
      <c r="L62" s="1044"/>
      <c r="M62" s="1044"/>
      <c r="N62" s="1044"/>
      <c r="O62" s="1044"/>
      <c r="P62" s="1044"/>
      <c r="Q62" s="1044"/>
      <c r="R62" s="1044"/>
      <c r="S62" s="1044"/>
      <c r="T62" s="1045"/>
    </row>
    <row r="63" spans="1:20" s="38" customFormat="1" ht="14.25" customHeight="1" x14ac:dyDescent="0.2"/>
    <row r="64" spans="1:20" s="38" customFormat="1" x14ac:dyDescent="0.2"/>
    <row r="65" s="38" customFormat="1" x14ac:dyDescent="0.2"/>
    <row r="66" s="38" customFormat="1" x14ac:dyDescent="0.2"/>
    <row r="67" s="38" customFormat="1" x14ac:dyDescent="0.2"/>
    <row r="68" s="38" customFormat="1" x14ac:dyDescent="0.2"/>
    <row r="69" s="38" customFormat="1" x14ac:dyDescent="0.2"/>
    <row r="70" s="38" customFormat="1" x14ac:dyDescent="0.2"/>
    <row r="71" s="38" customFormat="1" x14ac:dyDescent="0.2"/>
    <row r="72" s="38" customFormat="1" x14ac:dyDescent="0.2"/>
    <row r="73" s="38" customFormat="1" ht="12.75" customHeight="1" x14ac:dyDescent="0.2"/>
    <row r="74" s="38" customFormat="1" x14ac:dyDescent="0.2"/>
    <row r="75" s="38" customFormat="1" x14ac:dyDescent="0.2"/>
    <row r="76" s="38" customFormat="1" x14ac:dyDescent="0.2"/>
    <row r="77" s="38" customFormat="1" x14ac:dyDescent="0.2"/>
    <row r="78" s="38" customFormat="1" x14ac:dyDescent="0.2"/>
    <row r="79" s="38" customFormat="1" x14ac:dyDescent="0.2"/>
    <row r="80" s="38" customFormat="1" x14ac:dyDescent="0.2"/>
    <row r="81" s="38" customFormat="1" x14ac:dyDescent="0.2"/>
    <row r="82" s="38" customFormat="1" x14ac:dyDescent="0.2"/>
    <row r="83" s="38" customFormat="1" x14ac:dyDescent="0.2"/>
    <row r="84" s="38" customFormat="1" x14ac:dyDescent="0.2"/>
    <row r="85" s="38" customFormat="1" x14ac:dyDescent="0.2"/>
    <row r="86" s="38" customFormat="1" x14ac:dyDescent="0.2"/>
    <row r="87" s="38" customFormat="1" x14ac:dyDescent="0.2"/>
    <row r="88" s="38" customFormat="1" x14ac:dyDescent="0.2"/>
    <row r="89" s="38" customFormat="1" x14ac:dyDescent="0.2"/>
    <row r="90" s="38" customFormat="1" x14ac:dyDescent="0.2"/>
    <row r="91" s="38" customFormat="1" x14ac:dyDescent="0.2"/>
    <row r="92" s="38" customFormat="1" x14ac:dyDescent="0.2"/>
    <row r="93" s="38" customFormat="1" x14ac:dyDescent="0.2"/>
    <row r="94" s="38" customFormat="1" x14ac:dyDescent="0.2"/>
    <row r="95" s="38" customFormat="1" x14ac:dyDescent="0.2"/>
    <row r="96" s="38" customFormat="1" x14ac:dyDescent="0.2"/>
    <row r="97" s="38" customFormat="1" x14ac:dyDescent="0.2"/>
    <row r="98" s="38" customFormat="1" x14ac:dyDescent="0.2"/>
    <row r="99" s="38" customFormat="1" x14ac:dyDescent="0.2"/>
    <row r="100" s="38" customFormat="1" x14ac:dyDescent="0.2"/>
    <row r="101" s="38" customFormat="1" x14ac:dyDescent="0.2"/>
    <row r="102" s="38" customFormat="1" x14ac:dyDescent="0.2"/>
    <row r="103" s="38" customFormat="1" x14ac:dyDescent="0.2"/>
    <row r="104" s="38" customFormat="1" x14ac:dyDescent="0.2"/>
    <row r="105" s="38" customFormat="1" x14ac:dyDescent="0.2"/>
    <row r="106" s="38" customFormat="1" x14ac:dyDescent="0.2"/>
  </sheetData>
  <mergeCells count="60">
    <mergeCell ref="A5:T5"/>
    <mergeCell ref="A60:H60"/>
    <mergeCell ref="I60:T60"/>
    <mergeCell ref="A61:H61"/>
    <mergeCell ref="I61:T61"/>
    <mergeCell ref="A49:T49"/>
    <mergeCell ref="A50:T50"/>
    <mergeCell ref="A51:T51"/>
    <mergeCell ref="A52:T52"/>
    <mergeCell ref="A53:T53"/>
    <mergeCell ref="A54:T54"/>
    <mergeCell ref="A43:T43"/>
    <mergeCell ref="A44:T44"/>
    <mergeCell ref="A45:T45"/>
    <mergeCell ref="A46:T46"/>
    <mergeCell ref="A47:T47"/>
    <mergeCell ref="A62:H62"/>
    <mergeCell ref="I62:T62"/>
    <mergeCell ref="A55:T55"/>
    <mergeCell ref="A56:T56"/>
    <mergeCell ref="A57:T57"/>
    <mergeCell ref="A58:T58"/>
    <mergeCell ref="A59:H59"/>
    <mergeCell ref="I59:T59"/>
    <mergeCell ref="A48:T48"/>
    <mergeCell ref="A37:T37"/>
    <mergeCell ref="A38:T38"/>
    <mergeCell ref="A39:T39"/>
    <mergeCell ref="A40:T40"/>
    <mergeCell ref="A41:T41"/>
    <mergeCell ref="A42:T42"/>
    <mergeCell ref="A36:T36"/>
    <mergeCell ref="A25:T25"/>
    <mergeCell ref="A26:T26"/>
    <mergeCell ref="A27:T27"/>
    <mergeCell ref="A28:T28"/>
    <mergeCell ref="A29:T29"/>
    <mergeCell ref="A30:T30"/>
    <mergeCell ref="A31:T31"/>
    <mergeCell ref="A32:T32"/>
    <mergeCell ref="A33:T33"/>
    <mergeCell ref="A34:T34"/>
    <mergeCell ref="A35:T35"/>
    <mergeCell ref="A24:T24"/>
    <mergeCell ref="A13:T13"/>
    <mergeCell ref="A14:T14"/>
    <mergeCell ref="A15:T15"/>
    <mergeCell ref="A16:T16"/>
    <mergeCell ref="A17:T17"/>
    <mergeCell ref="A18:T18"/>
    <mergeCell ref="A19:T19"/>
    <mergeCell ref="A20:T20"/>
    <mergeCell ref="A21:T21"/>
    <mergeCell ref="A22:T22"/>
    <mergeCell ref="A23:T23"/>
    <mergeCell ref="A6:S6"/>
    <mergeCell ref="A9:T9"/>
    <mergeCell ref="A10:T10"/>
    <mergeCell ref="A11:T11"/>
    <mergeCell ref="A12:T12"/>
  </mergeCells>
  <conditionalFormatting sqref="I59:T59 A61:T61">
    <cfRule type="cellIs" dxfId="17" priority="10" stopIfTrue="1" operator="equal">
      <formula>0</formula>
    </cfRule>
  </conditionalFormatting>
  <conditionalFormatting sqref="A55:T55">
    <cfRule type="cellIs" dxfId="16" priority="11" stopIfTrue="1" operator="notEqual">
      <formula>"."</formula>
    </cfRule>
  </conditionalFormatting>
  <conditionalFormatting sqref="A58:T58">
    <cfRule type="cellIs" dxfId="15" priority="12" stopIfTrue="1" operator="notEqual">
      <formula>"."</formula>
    </cfRule>
  </conditionalFormatting>
  <conditionalFormatting sqref="A9:T9 A54:T54">
    <cfRule type="cellIs" dxfId="14" priority="9" stopIfTrue="1" operator="notEqual">
      <formula>"."</formula>
    </cfRule>
  </conditionalFormatting>
  <conditionalFormatting sqref="A10:T10 A53:T53">
    <cfRule type="cellIs" dxfId="13" priority="8" stopIfTrue="1" operator="notEqual">
      <formula>"."</formula>
    </cfRule>
  </conditionalFormatting>
  <conditionalFormatting sqref="A11:T42 A51:T52">
    <cfRule type="cellIs" dxfId="12" priority="7" stopIfTrue="1" operator="notEqual">
      <formula>"."</formula>
    </cfRule>
  </conditionalFormatting>
  <conditionalFormatting sqref="A46:T46">
    <cfRule type="cellIs" dxfId="11" priority="6" stopIfTrue="1" operator="notEqual">
      <formula>"."</formula>
    </cfRule>
  </conditionalFormatting>
  <conditionalFormatting sqref="A45:T45">
    <cfRule type="cellIs" dxfId="10" priority="5" stopIfTrue="1" operator="notEqual">
      <formula>"."</formula>
    </cfRule>
  </conditionalFormatting>
  <conditionalFormatting sqref="A43:T44">
    <cfRule type="cellIs" dxfId="9" priority="4" stopIfTrue="1" operator="notEqual">
      <formula>"."</formula>
    </cfRule>
  </conditionalFormatting>
  <conditionalFormatting sqref="A50:T50">
    <cfRule type="cellIs" dxfId="8" priority="3" stopIfTrue="1" operator="notEqual">
      <formula>"."</formula>
    </cfRule>
  </conditionalFormatting>
  <conditionalFormatting sqref="A49:T49">
    <cfRule type="cellIs" dxfId="7" priority="2" stopIfTrue="1" operator="notEqual">
      <formula>"."</formula>
    </cfRule>
  </conditionalFormatting>
  <conditionalFormatting sqref="A47:T48">
    <cfRule type="cellIs" dxfId="6" priority="1" stopIfTrue="1" operator="notEqual">
      <formula>"."</formula>
    </cfRule>
  </conditionalFormatting>
  <pageMargins left="0.7" right="0.7" top="0.75" bottom="0.75" header="0.3" footer="0.3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H23" sqref="H23"/>
    </sheetView>
  </sheetViews>
  <sheetFormatPr defaultRowHeight="12.75" x14ac:dyDescent="0.2"/>
  <cols>
    <col min="2" max="2" width="12.85546875" customWidth="1"/>
    <col min="3" max="3" width="69.42578125" customWidth="1"/>
  </cols>
  <sheetData>
    <row r="1" spans="1:5" ht="90.75" customHeight="1" thickBot="1" x14ac:dyDescent="0.25">
      <c r="A1" s="143"/>
      <c r="B1" s="144"/>
      <c r="C1" s="144"/>
      <c r="D1" s="144"/>
      <c r="E1" s="145"/>
    </row>
    <row r="2" spans="1:5" ht="18" x14ac:dyDescent="0.2">
      <c r="A2" s="119" t="s">
        <v>58</v>
      </c>
      <c r="B2" s="120"/>
      <c r="C2" s="120"/>
      <c r="D2" s="120"/>
      <c r="E2" s="121"/>
    </row>
    <row r="3" spans="1:5" ht="18" x14ac:dyDescent="0.25">
      <c r="A3" s="117" t="s">
        <v>102</v>
      </c>
      <c r="B3" s="122"/>
      <c r="C3" s="122"/>
      <c r="D3" s="122"/>
      <c r="E3" s="123"/>
    </row>
    <row r="4" spans="1:5" ht="15" x14ac:dyDescent="0.2">
      <c r="A4" s="124"/>
      <c r="B4" s="125"/>
      <c r="C4" s="125"/>
      <c r="D4" s="125"/>
      <c r="E4" s="126"/>
    </row>
    <row r="5" spans="1:5" ht="15.75" x14ac:dyDescent="0.2">
      <c r="A5" s="1052" t="str">
        <f>'ANEXO 01-ORÇAMENTO'!A5</f>
        <v>SOLICITANTE: SECRETARIA MUNICIPAL DE EDUCAÇÃO</v>
      </c>
      <c r="B5" s="1041"/>
      <c r="C5" s="1041"/>
      <c r="D5" s="1041"/>
      <c r="E5" s="1053"/>
    </row>
    <row r="6" spans="1:5" ht="15.75" x14ac:dyDescent="0.2">
      <c r="A6" s="1040" t="str">
        <f>'ANEXO 01-ORÇAMENTO'!A6</f>
        <v>OBJETO: E.M.E.F. JOÃO CERNICCHIARO</v>
      </c>
      <c r="B6" s="1058"/>
      <c r="C6" s="1058"/>
      <c r="D6" s="1058"/>
      <c r="E6" s="1059"/>
    </row>
    <row r="7" spans="1:5" ht="15.75" x14ac:dyDescent="0.2">
      <c r="A7" s="1060" t="str">
        <f>'ANEXO 01-ORÇAMENTO'!A7</f>
        <v>LOCAL DA OBRA: Professora Nair, Lago de Oliveira</v>
      </c>
      <c r="B7" s="1061"/>
      <c r="C7" s="1061"/>
      <c r="D7" s="1061"/>
      <c r="E7" s="1062"/>
    </row>
    <row r="8" spans="1:5" ht="16.5" thickBot="1" x14ac:dyDescent="0.25">
      <c r="A8" s="147"/>
      <c r="B8" s="128"/>
      <c r="C8" s="128"/>
      <c r="D8" s="128"/>
      <c r="E8" s="146"/>
    </row>
    <row r="9" spans="1:5" ht="13.5" thickBot="1" x14ac:dyDescent="0.25">
      <c r="A9" s="1063" t="str">
        <f>'[2]ANEXO 01-ORÇAMENTO'!C16</f>
        <v>DESCRIMINAÇÃO</v>
      </c>
      <c r="B9" s="1064"/>
      <c r="C9" s="1064"/>
      <c r="D9" s="1064"/>
      <c r="E9" s="1065"/>
    </row>
    <row r="10" spans="1:5" x14ac:dyDescent="0.2">
      <c r="A10" s="140"/>
      <c r="B10" s="114"/>
      <c r="C10" s="115" t="s">
        <v>80</v>
      </c>
      <c r="D10" s="114"/>
      <c r="E10" s="116"/>
    </row>
    <row r="11" spans="1:5" ht="45" customHeight="1" x14ac:dyDescent="0.2">
      <c r="A11" s="1066" t="s">
        <v>368</v>
      </c>
      <c r="B11" s="1067"/>
      <c r="C11" s="1067"/>
      <c r="D11" s="1067"/>
      <c r="E11" s="1068"/>
    </row>
    <row r="12" spans="1:5" x14ac:dyDescent="0.2">
      <c r="A12" s="159"/>
      <c r="B12" s="160"/>
      <c r="C12" s="162" t="s">
        <v>366</v>
      </c>
      <c r="D12" s="160"/>
      <c r="E12" s="161"/>
    </row>
    <row r="13" spans="1:5" ht="13.5" thickBot="1" x14ac:dyDescent="0.25">
      <c r="A13" s="1055" t="s">
        <v>369</v>
      </c>
      <c r="B13" s="1056"/>
      <c r="C13" s="1056"/>
      <c r="D13" s="1056"/>
      <c r="E13" s="1057"/>
    </row>
    <row r="14" spans="1:5" x14ac:dyDescent="0.2">
      <c r="A14" s="173"/>
      <c r="B14" s="174"/>
      <c r="C14" s="175" t="s">
        <v>367</v>
      </c>
      <c r="D14" s="174"/>
      <c r="E14" s="176"/>
    </row>
    <row r="15" spans="1:5" ht="32.25" customHeight="1" thickBot="1" x14ac:dyDescent="0.25">
      <c r="A15" s="1055" t="s">
        <v>370</v>
      </c>
      <c r="B15" s="1056"/>
      <c r="C15" s="1056"/>
      <c r="D15" s="1056"/>
      <c r="E15" s="1057"/>
    </row>
    <row r="16" spans="1:5" ht="15" x14ac:dyDescent="0.2">
      <c r="A16" s="148" t="s">
        <v>91</v>
      </c>
      <c r="B16" s="149">
        <f>'ANEXO 01-ORÇAMENTO'!$B$360</f>
        <v>44634</v>
      </c>
      <c r="C16" s="85" t="s">
        <v>54</v>
      </c>
      <c r="D16" s="98"/>
      <c r="E16" s="150"/>
    </row>
    <row r="17" spans="1:5" ht="15" x14ac:dyDescent="0.2">
      <c r="A17" s="148"/>
      <c r="B17" s="149"/>
      <c r="C17" s="85"/>
      <c r="D17" s="98"/>
      <c r="E17" s="150"/>
    </row>
    <row r="18" spans="1:5" ht="15" x14ac:dyDescent="0.2">
      <c r="A18" s="148"/>
      <c r="B18" s="149"/>
      <c r="C18" s="85"/>
      <c r="D18" s="98"/>
      <c r="E18" s="150"/>
    </row>
    <row r="19" spans="1:5" ht="15" x14ac:dyDescent="0.2">
      <c r="A19" s="148"/>
      <c r="B19" s="149"/>
      <c r="C19" s="85"/>
      <c r="D19" s="98"/>
      <c r="E19" s="150"/>
    </row>
    <row r="20" spans="1:5" ht="15" x14ac:dyDescent="0.2">
      <c r="A20" s="151"/>
      <c r="B20" s="96"/>
      <c r="C20" s="85"/>
      <c r="D20" s="98"/>
      <c r="E20" s="150"/>
    </row>
    <row r="21" spans="1:5" ht="15.75" x14ac:dyDescent="0.2">
      <c r="A21" s="151"/>
      <c r="B21" s="98"/>
      <c r="C21" s="152" t="s">
        <v>73</v>
      </c>
      <c r="D21" s="98"/>
      <c r="E21" s="150"/>
    </row>
    <row r="22" spans="1:5" ht="15.75" x14ac:dyDescent="0.2">
      <c r="A22" s="151"/>
      <c r="B22" s="153"/>
      <c r="C22" s="85" t="s">
        <v>74</v>
      </c>
      <c r="D22" s="98"/>
      <c r="E22" s="154"/>
    </row>
    <row r="23" spans="1:5" ht="15.75" x14ac:dyDescent="0.2">
      <c r="A23" s="151"/>
      <c r="B23" s="153"/>
      <c r="C23" s="85" t="s">
        <v>77</v>
      </c>
      <c r="D23" s="98"/>
      <c r="E23" s="154"/>
    </row>
    <row r="24" spans="1:5" ht="15.75" x14ac:dyDescent="0.2">
      <c r="A24" s="151"/>
      <c r="B24" s="153"/>
      <c r="C24" s="85"/>
      <c r="D24" s="98"/>
      <c r="E24" s="154"/>
    </row>
    <row r="25" spans="1:5" ht="15.75" x14ac:dyDescent="0.2">
      <c r="A25" s="151"/>
      <c r="B25" s="153"/>
      <c r="C25" s="85"/>
      <c r="D25" s="98"/>
      <c r="E25" s="154"/>
    </row>
    <row r="26" spans="1:5" ht="15.75" x14ac:dyDescent="0.2">
      <c r="A26" s="151"/>
      <c r="B26" s="153"/>
      <c r="C26" s="85"/>
      <c r="D26" s="98"/>
      <c r="E26" s="154"/>
    </row>
    <row r="27" spans="1:5" ht="15.75" x14ac:dyDescent="0.2">
      <c r="A27" s="151"/>
      <c r="B27" s="153"/>
      <c r="C27" s="85"/>
      <c r="D27" s="98"/>
      <c r="E27" s="154"/>
    </row>
    <row r="28" spans="1:5" ht="15.75" x14ac:dyDescent="0.2">
      <c r="A28" s="151"/>
      <c r="B28" s="153"/>
      <c r="C28" s="85"/>
      <c r="D28" s="98"/>
      <c r="E28" s="154"/>
    </row>
    <row r="29" spans="1:5" ht="15.75" x14ac:dyDescent="0.2">
      <c r="A29" s="151"/>
      <c r="B29" s="153"/>
      <c r="C29" s="85"/>
      <c r="D29" s="98"/>
      <c r="E29" s="154"/>
    </row>
    <row r="30" spans="1:5" ht="15.75" x14ac:dyDescent="0.2">
      <c r="A30" s="151"/>
      <c r="B30" s="153"/>
      <c r="C30" s="85"/>
      <c r="D30" s="98"/>
      <c r="E30" s="154"/>
    </row>
    <row r="31" spans="1:5" ht="15.75" x14ac:dyDescent="0.2">
      <c r="A31" s="151"/>
      <c r="B31" s="153"/>
      <c r="C31" s="85"/>
      <c r="D31" s="98"/>
      <c r="E31" s="154"/>
    </row>
    <row r="32" spans="1:5" ht="15.75" x14ac:dyDescent="0.2">
      <c r="A32" s="151"/>
      <c r="B32" s="153"/>
      <c r="C32" s="85"/>
      <c r="D32" s="98"/>
      <c r="E32" s="154"/>
    </row>
    <row r="33" spans="1:5" ht="15.75" x14ac:dyDescent="0.2">
      <c r="A33" s="151"/>
      <c r="B33" s="153"/>
      <c r="C33" s="85"/>
      <c r="D33" s="98"/>
      <c r="E33" s="154"/>
    </row>
    <row r="34" spans="1:5" ht="15.75" x14ac:dyDescent="0.2">
      <c r="A34" s="151"/>
      <c r="B34" s="153"/>
      <c r="C34" s="85"/>
      <c r="D34" s="98"/>
      <c r="E34" s="154"/>
    </row>
    <row r="35" spans="1:5" ht="15.75" x14ac:dyDescent="0.2">
      <c r="A35" s="151"/>
      <c r="B35" s="153"/>
      <c r="C35" s="85"/>
      <c r="D35" s="98"/>
      <c r="E35" s="154"/>
    </row>
    <row r="36" spans="1:5" ht="15.75" x14ac:dyDescent="0.2">
      <c r="A36" s="151"/>
      <c r="B36" s="153"/>
      <c r="C36" s="85"/>
      <c r="D36" s="98"/>
      <c r="E36" s="154"/>
    </row>
    <row r="37" spans="1:5" ht="15.75" x14ac:dyDescent="0.2">
      <c r="A37" s="151"/>
      <c r="B37" s="153"/>
      <c r="C37" s="85"/>
      <c r="D37" s="98"/>
      <c r="E37" s="154"/>
    </row>
    <row r="38" spans="1:5" ht="15.75" x14ac:dyDescent="0.2">
      <c r="A38" s="151"/>
      <c r="B38" s="153"/>
      <c r="C38" s="85"/>
      <c r="D38" s="98"/>
      <c r="E38" s="154"/>
    </row>
    <row r="39" spans="1:5" ht="15" x14ac:dyDescent="0.2">
      <c r="A39" s="151"/>
      <c r="B39" s="98"/>
      <c r="D39" s="98"/>
      <c r="E39" s="150"/>
    </row>
    <row r="40" spans="1:5" ht="15.75" thickBot="1" x14ac:dyDescent="0.25">
      <c r="A40" s="155"/>
      <c r="B40" s="156"/>
      <c r="C40" s="157"/>
      <c r="D40" s="156"/>
      <c r="E40" s="158"/>
    </row>
  </sheetData>
  <mergeCells count="7">
    <mergeCell ref="A15:E15"/>
    <mergeCell ref="A5:E5"/>
    <mergeCell ref="A6:E6"/>
    <mergeCell ref="A7:E7"/>
    <mergeCell ref="A9:E9"/>
    <mergeCell ref="A11:E11"/>
    <mergeCell ref="A13:E13"/>
  </mergeCells>
  <pageMargins left="0.511811024" right="0.511811024" top="0.78740157499999996" bottom="0.78740157499999996" header="0.31496062000000002" footer="0.31496062000000002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51"/>
  <sheetViews>
    <sheetView workbookViewId="0">
      <selection activeCell="B26" sqref="B26"/>
    </sheetView>
  </sheetViews>
  <sheetFormatPr defaultRowHeight="12.75" x14ac:dyDescent="0.2"/>
  <cols>
    <col min="2" max="2" width="50.85546875" customWidth="1"/>
  </cols>
  <sheetData>
    <row r="4" spans="2:20" ht="16.5" thickBot="1" x14ac:dyDescent="0.3">
      <c r="C4" s="1076" t="s">
        <v>15</v>
      </c>
      <c r="D4" s="1076"/>
      <c r="E4" s="1076"/>
      <c r="F4" s="1076"/>
      <c r="G4" s="1076"/>
      <c r="H4" s="1076"/>
      <c r="I4" s="1076" t="s">
        <v>3</v>
      </c>
      <c r="J4" s="1076"/>
      <c r="K4" s="1076"/>
      <c r="L4" s="1076"/>
      <c r="M4" s="1076"/>
      <c r="N4" s="1076"/>
      <c r="O4" s="1076" t="s">
        <v>16</v>
      </c>
      <c r="P4" s="1076"/>
      <c r="Q4" s="1076"/>
      <c r="R4" s="1076"/>
      <c r="S4" s="1076"/>
      <c r="T4" s="1076"/>
    </row>
    <row r="5" spans="2:20" ht="32.25" thickBot="1" x14ac:dyDescent="0.25">
      <c r="B5" s="1" t="s">
        <v>17</v>
      </c>
      <c r="C5" s="2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4" t="s">
        <v>23</v>
      </c>
      <c r="I5" s="2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4" t="s">
        <v>23</v>
      </c>
      <c r="O5" s="2" t="s">
        <v>18</v>
      </c>
      <c r="P5" s="3" t="s">
        <v>19</v>
      </c>
      <c r="Q5" s="3" t="s">
        <v>20</v>
      </c>
      <c r="R5" s="3" t="s">
        <v>21</v>
      </c>
      <c r="S5" s="3" t="s">
        <v>22</v>
      </c>
      <c r="T5" s="4" t="s">
        <v>23</v>
      </c>
    </row>
    <row r="6" spans="2:20" x14ac:dyDescent="0.2">
      <c r="B6" s="5" t="s">
        <v>24</v>
      </c>
      <c r="C6" s="6">
        <v>3</v>
      </c>
      <c r="D6" s="7">
        <v>3.8</v>
      </c>
      <c r="E6" s="7">
        <v>3.43</v>
      </c>
      <c r="F6" s="7">
        <v>5.29</v>
      </c>
      <c r="G6" s="7">
        <v>4</v>
      </c>
      <c r="H6" s="8">
        <v>1.5</v>
      </c>
      <c r="I6" s="6">
        <v>4</v>
      </c>
      <c r="J6" s="7">
        <v>4.01</v>
      </c>
      <c r="K6" s="7">
        <v>4.93</v>
      </c>
      <c r="L6" s="7">
        <v>5.92</v>
      </c>
      <c r="M6" s="7">
        <v>5.52</v>
      </c>
      <c r="N6" s="8">
        <v>3.45</v>
      </c>
      <c r="O6" s="6">
        <v>5.5</v>
      </c>
      <c r="P6" s="7">
        <v>4.67</v>
      </c>
      <c r="Q6" s="7">
        <v>6.71</v>
      </c>
      <c r="R6" s="7">
        <v>7.93</v>
      </c>
      <c r="S6" s="7">
        <v>7.85</v>
      </c>
      <c r="T6" s="8">
        <v>4.49</v>
      </c>
    </row>
    <row r="7" spans="2:20" x14ac:dyDescent="0.2">
      <c r="B7" s="9" t="s">
        <v>25</v>
      </c>
      <c r="C7" s="10">
        <v>0.8</v>
      </c>
      <c r="D7" s="11">
        <v>0.32</v>
      </c>
      <c r="E7" s="11">
        <v>0.28000000000000003</v>
      </c>
      <c r="F7" s="11">
        <v>0.25</v>
      </c>
      <c r="G7" s="11">
        <v>0.81</v>
      </c>
      <c r="H7" s="12">
        <v>0.3</v>
      </c>
      <c r="I7" s="10">
        <v>0.8</v>
      </c>
      <c r="J7" s="11">
        <v>0.4</v>
      </c>
      <c r="K7" s="11">
        <v>0.49</v>
      </c>
      <c r="L7" s="11">
        <v>0.51</v>
      </c>
      <c r="M7" s="11">
        <v>1.22</v>
      </c>
      <c r="N7" s="12">
        <v>0.48</v>
      </c>
      <c r="O7" s="10">
        <v>1</v>
      </c>
      <c r="P7" s="11">
        <v>0.74</v>
      </c>
      <c r="Q7" s="11">
        <v>0.75</v>
      </c>
      <c r="R7" s="11">
        <v>0.56000000000000005</v>
      </c>
      <c r="S7" s="11">
        <v>1.99</v>
      </c>
      <c r="T7" s="12">
        <v>0.82</v>
      </c>
    </row>
    <row r="8" spans="2:20" x14ac:dyDescent="0.2">
      <c r="B8" s="9" t="s">
        <v>26</v>
      </c>
      <c r="C8" s="10">
        <v>0.97</v>
      </c>
      <c r="D8" s="11">
        <v>0.5</v>
      </c>
      <c r="E8" s="11">
        <v>1</v>
      </c>
      <c r="F8" s="11">
        <v>1</v>
      </c>
      <c r="G8" s="11">
        <v>1.46</v>
      </c>
      <c r="H8" s="12">
        <v>0.56000000000000005</v>
      </c>
      <c r="I8" s="10">
        <v>1.27</v>
      </c>
      <c r="J8" s="11">
        <v>0.56000000000000005</v>
      </c>
      <c r="K8" s="11">
        <v>1.39</v>
      </c>
      <c r="L8" s="11">
        <v>1.48</v>
      </c>
      <c r="M8" s="11">
        <v>2.3199999999999998</v>
      </c>
      <c r="N8" s="12">
        <v>0.85</v>
      </c>
      <c r="O8" s="10">
        <v>1.27</v>
      </c>
      <c r="P8" s="11">
        <v>0.97</v>
      </c>
      <c r="Q8" s="11">
        <v>1.74</v>
      </c>
      <c r="R8" s="11">
        <v>1.97</v>
      </c>
      <c r="S8" s="11">
        <v>3.16</v>
      </c>
      <c r="T8" s="12">
        <v>0.89</v>
      </c>
    </row>
    <row r="9" spans="2:20" x14ac:dyDescent="0.2">
      <c r="B9" s="9" t="s">
        <v>27</v>
      </c>
      <c r="C9" s="10">
        <v>0.59</v>
      </c>
      <c r="D9" s="11">
        <v>1.02</v>
      </c>
      <c r="E9" s="11">
        <v>0.94</v>
      </c>
      <c r="F9" s="11">
        <v>1.01</v>
      </c>
      <c r="G9" s="11">
        <v>0.94</v>
      </c>
      <c r="H9" s="12">
        <v>0.85</v>
      </c>
      <c r="I9" s="10">
        <v>1.23</v>
      </c>
      <c r="J9" s="11">
        <v>1.1100000000000001</v>
      </c>
      <c r="K9" s="11">
        <v>0.99</v>
      </c>
      <c r="L9" s="11">
        <v>1.07</v>
      </c>
      <c r="M9" s="11">
        <v>1.02</v>
      </c>
      <c r="N9" s="12">
        <v>0.85</v>
      </c>
      <c r="O9" s="10">
        <v>1.39</v>
      </c>
      <c r="P9" s="11">
        <v>1.21</v>
      </c>
      <c r="Q9" s="11">
        <v>1.17</v>
      </c>
      <c r="R9" s="11">
        <v>1.1100000000000001</v>
      </c>
      <c r="S9" s="11">
        <v>1.33</v>
      </c>
      <c r="T9" s="12">
        <v>1.1100000000000001</v>
      </c>
    </row>
    <row r="10" spans="2:20" ht="13.5" thickBot="1" x14ac:dyDescent="0.25">
      <c r="B10" s="9" t="s">
        <v>28</v>
      </c>
      <c r="C10" s="10">
        <v>6.16</v>
      </c>
      <c r="D10" s="11">
        <v>6.64</v>
      </c>
      <c r="E10" s="11">
        <v>6.74</v>
      </c>
      <c r="F10" s="11">
        <v>8</v>
      </c>
      <c r="G10" s="11">
        <v>7.14</v>
      </c>
      <c r="H10" s="12">
        <v>3.5</v>
      </c>
      <c r="I10" s="10">
        <v>7.4</v>
      </c>
      <c r="J10" s="11">
        <v>7.3</v>
      </c>
      <c r="K10" s="11">
        <v>8.0399999999999991</v>
      </c>
      <c r="L10" s="11">
        <v>8.31</v>
      </c>
      <c r="M10" s="11">
        <v>8.4</v>
      </c>
      <c r="N10" s="12">
        <v>5.1100000000000003</v>
      </c>
      <c r="O10" s="10">
        <v>8.9600000000000009</v>
      </c>
      <c r="P10" s="11">
        <v>8.69</v>
      </c>
      <c r="Q10" s="11">
        <v>9.4</v>
      </c>
      <c r="R10" s="11">
        <v>9.51</v>
      </c>
      <c r="S10" s="11">
        <v>10.43</v>
      </c>
      <c r="T10" s="12">
        <v>6.22</v>
      </c>
    </row>
    <row r="11" spans="2:20" x14ac:dyDescent="0.2">
      <c r="B11" s="5" t="s">
        <v>29</v>
      </c>
      <c r="C11" s="10">
        <v>0.65</v>
      </c>
      <c r="D11" s="11">
        <v>0.65</v>
      </c>
      <c r="E11" s="11">
        <v>0.65</v>
      </c>
      <c r="F11" s="11">
        <v>0.65</v>
      </c>
      <c r="G11" s="11">
        <v>0.65</v>
      </c>
      <c r="H11" s="12">
        <v>0.65</v>
      </c>
      <c r="I11" s="10">
        <v>0.65</v>
      </c>
      <c r="J11" s="11">
        <v>0.65</v>
      </c>
      <c r="K11" s="11">
        <v>0.65</v>
      </c>
      <c r="L11" s="11">
        <v>0.65</v>
      </c>
      <c r="M11" s="11">
        <v>0.65</v>
      </c>
      <c r="N11" s="12">
        <v>0.65</v>
      </c>
      <c r="O11" s="10">
        <v>0.65</v>
      </c>
      <c r="P11" s="11">
        <v>0.65</v>
      </c>
      <c r="Q11" s="11">
        <v>0.65</v>
      </c>
      <c r="R11" s="11">
        <v>0.65</v>
      </c>
      <c r="S11" s="11">
        <v>0.65</v>
      </c>
      <c r="T11" s="12">
        <v>0.65</v>
      </c>
    </row>
    <row r="12" spans="2:20" x14ac:dyDescent="0.2">
      <c r="B12" s="9" t="s">
        <v>30</v>
      </c>
      <c r="C12" s="10">
        <v>3</v>
      </c>
      <c r="D12" s="11">
        <v>3</v>
      </c>
      <c r="E12" s="11">
        <v>3</v>
      </c>
      <c r="F12" s="11">
        <v>3</v>
      </c>
      <c r="G12" s="11">
        <v>3</v>
      </c>
      <c r="H12" s="12">
        <v>3</v>
      </c>
      <c r="I12" s="10">
        <v>3</v>
      </c>
      <c r="J12" s="11">
        <v>3</v>
      </c>
      <c r="K12" s="11">
        <v>3</v>
      </c>
      <c r="L12" s="11">
        <v>3</v>
      </c>
      <c r="M12" s="11">
        <v>3</v>
      </c>
      <c r="N12" s="12">
        <v>3</v>
      </c>
      <c r="O12" s="10">
        <v>3</v>
      </c>
      <c r="P12" s="11">
        <v>3</v>
      </c>
      <c r="Q12" s="11">
        <v>3</v>
      </c>
      <c r="R12" s="11">
        <v>3</v>
      </c>
      <c r="S12" s="11">
        <v>3</v>
      </c>
      <c r="T12" s="12">
        <v>3</v>
      </c>
    </row>
    <row r="13" spans="2:20" x14ac:dyDescent="0.2">
      <c r="B13" s="9" t="s">
        <v>31</v>
      </c>
      <c r="C13" s="10">
        <v>2</v>
      </c>
      <c r="D13" s="11">
        <v>2</v>
      </c>
      <c r="E13" s="11">
        <v>2</v>
      </c>
      <c r="F13" s="11">
        <v>2</v>
      </c>
      <c r="G13" s="11">
        <v>2</v>
      </c>
      <c r="H13" s="12">
        <v>2</v>
      </c>
      <c r="I13" s="10">
        <v>2</v>
      </c>
      <c r="J13" s="11">
        <v>2</v>
      </c>
      <c r="K13" s="11">
        <v>2</v>
      </c>
      <c r="L13" s="11">
        <v>2</v>
      </c>
      <c r="M13" s="11">
        <v>2</v>
      </c>
      <c r="N13" s="12">
        <v>2</v>
      </c>
      <c r="O13" s="10">
        <v>5</v>
      </c>
      <c r="P13" s="11">
        <v>5</v>
      </c>
      <c r="Q13" s="11">
        <v>5</v>
      </c>
      <c r="R13" s="11">
        <v>5</v>
      </c>
      <c r="S13" s="11">
        <v>5</v>
      </c>
      <c r="T13" s="12">
        <v>5</v>
      </c>
    </row>
    <row r="14" spans="2:20" x14ac:dyDescent="0.2">
      <c r="B14" s="9" t="s">
        <v>32</v>
      </c>
      <c r="C14" s="10">
        <v>2</v>
      </c>
      <c r="D14" s="11">
        <v>2</v>
      </c>
      <c r="E14" s="11">
        <v>2</v>
      </c>
      <c r="F14" s="11">
        <v>2</v>
      </c>
      <c r="G14" s="11">
        <v>2</v>
      </c>
      <c r="H14" s="12">
        <v>2</v>
      </c>
      <c r="I14" s="10">
        <v>2</v>
      </c>
      <c r="J14" s="11">
        <v>2</v>
      </c>
      <c r="K14" s="11">
        <v>2</v>
      </c>
      <c r="L14" s="11">
        <v>2</v>
      </c>
      <c r="M14" s="11">
        <v>2</v>
      </c>
      <c r="N14" s="12">
        <v>2</v>
      </c>
      <c r="O14" s="10">
        <v>2</v>
      </c>
      <c r="P14" s="11">
        <v>2</v>
      </c>
      <c r="Q14" s="11">
        <v>2</v>
      </c>
      <c r="R14" s="11">
        <v>2</v>
      </c>
      <c r="S14" s="11">
        <v>2</v>
      </c>
      <c r="T14" s="12">
        <v>2</v>
      </c>
    </row>
    <row r="15" spans="2:20" ht="13.5" thickBot="1" x14ac:dyDescent="0.25">
      <c r="B15" s="13" t="s">
        <v>33</v>
      </c>
      <c r="C15" s="14">
        <f>SUM(C11:C13)</f>
        <v>5.65</v>
      </c>
      <c r="D15" s="15">
        <f>SUM(D11:D13)</f>
        <v>5.65</v>
      </c>
      <c r="E15" s="15">
        <f t="shared" ref="E15:T15" si="0">SUM(E11:E13)</f>
        <v>5.65</v>
      </c>
      <c r="F15" s="15">
        <f t="shared" si="0"/>
        <v>5.65</v>
      </c>
      <c r="G15" s="15">
        <f t="shared" si="0"/>
        <v>5.65</v>
      </c>
      <c r="H15" s="15">
        <f t="shared" si="0"/>
        <v>5.65</v>
      </c>
      <c r="I15" s="14">
        <f t="shared" si="0"/>
        <v>5.65</v>
      </c>
      <c r="J15" s="15">
        <f t="shared" si="0"/>
        <v>5.65</v>
      </c>
      <c r="K15" s="15">
        <f t="shared" si="0"/>
        <v>5.65</v>
      </c>
      <c r="L15" s="15">
        <f t="shared" si="0"/>
        <v>5.65</v>
      </c>
      <c r="M15" s="15">
        <f t="shared" si="0"/>
        <v>5.65</v>
      </c>
      <c r="N15" s="15">
        <f t="shared" si="0"/>
        <v>5.65</v>
      </c>
      <c r="O15" s="14">
        <f t="shared" si="0"/>
        <v>8.65</v>
      </c>
      <c r="P15" s="15">
        <f t="shared" si="0"/>
        <v>8.65</v>
      </c>
      <c r="Q15" s="15">
        <f t="shared" si="0"/>
        <v>8.65</v>
      </c>
      <c r="R15" s="15">
        <f t="shared" si="0"/>
        <v>8.65</v>
      </c>
      <c r="S15" s="15">
        <f t="shared" si="0"/>
        <v>8.65</v>
      </c>
      <c r="T15" s="16">
        <f t="shared" si="0"/>
        <v>8.65</v>
      </c>
    </row>
    <row r="16" spans="2:20" ht="13.5" thickBot="1" x14ac:dyDescent="0.25">
      <c r="B16" s="17"/>
      <c r="I16" s="17"/>
      <c r="J16" s="17"/>
      <c r="K16" s="17"/>
      <c r="L16" s="17"/>
      <c r="M16" s="17"/>
      <c r="N16" s="17"/>
    </row>
    <row r="17" spans="2:23" ht="16.5" thickBot="1" x14ac:dyDescent="0.3">
      <c r="B17" s="18">
        <v>1</v>
      </c>
    </row>
    <row r="18" spans="2:23" ht="16.5" thickBot="1" x14ac:dyDescent="0.3">
      <c r="B18" s="19" t="s">
        <v>5</v>
      </c>
      <c r="C18" s="1077" t="s">
        <v>34</v>
      </c>
      <c r="D18" s="1078"/>
      <c r="E18" s="1078"/>
      <c r="F18" s="1078"/>
      <c r="G18" s="1078"/>
      <c r="H18" s="1078"/>
      <c r="I18" s="1078"/>
      <c r="J18" s="1078"/>
      <c r="K18" s="1078"/>
      <c r="L18" s="1078"/>
      <c r="M18" s="1078"/>
      <c r="N18" s="1079"/>
      <c r="O18" s="1080" t="s">
        <v>35</v>
      </c>
      <c r="P18" s="1081"/>
      <c r="Q18" s="1081"/>
      <c r="R18" s="1081"/>
      <c r="S18" s="1081"/>
      <c r="T18" s="1082"/>
    </row>
    <row r="19" spans="2:23" x14ac:dyDescent="0.2">
      <c r="B19" s="20">
        <v>1</v>
      </c>
      <c r="C19" s="1069" t="s">
        <v>36</v>
      </c>
      <c r="D19" s="1070"/>
      <c r="E19" s="1070"/>
      <c r="F19" s="1070"/>
      <c r="G19" s="1070"/>
      <c r="H19" s="1070"/>
      <c r="I19" s="1070"/>
      <c r="J19" s="1070"/>
      <c r="K19" s="1070"/>
      <c r="L19" s="1070"/>
      <c r="M19" s="1070"/>
      <c r="N19" s="1071"/>
      <c r="O19" s="1072">
        <v>20.34</v>
      </c>
      <c r="P19" s="1073"/>
      <c r="Q19" s="1074">
        <v>22.12</v>
      </c>
      <c r="R19" s="1074"/>
      <c r="S19" s="1074">
        <v>25</v>
      </c>
      <c r="T19" s="1075"/>
    </row>
    <row r="20" spans="2:23" x14ac:dyDescent="0.2">
      <c r="B20" s="21">
        <v>2</v>
      </c>
      <c r="C20" s="1083" t="s">
        <v>37</v>
      </c>
      <c r="D20" s="1084"/>
      <c r="E20" s="1084"/>
      <c r="F20" s="1084"/>
      <c r="G20" s="1084"/>
      <c r="H20" s="1084"/>
      <c r="I20" s="1084"/>
      <c r="J20" s="1084"/>
      <c r="K20" s="1084"/>
      <c r="L20" s="1084"/>
      <c r="M20" s="1084"/>
      <c r="N20" s="1085"/>
      <c r="O20" s="1086">
        <v>19.600000000000001</v>
      </c>
      <c r="P20" s="1087"/>
      <c r="Q20" s="1088">
        <v>20.97</v>
      </c>
      <c r="R20" s="1088"/>
      <c r="S20" s="1088">
        <v>24.23</v>
      </c>
      <c r="T20" s="1089"/>
    </row>
    <row r="21" spans="2:23" x14ac:dyDescent="0.2">
      <c r="B21" s="21">
        <v>3</v>
      </c>
      <c r="C21" s="1083" t="s">
        <v>38</v>
      </c>
      <c r="D21" s="1084"/>
      <c r="E21" s="1084"/>
      <c r="F21" s="1084"/>
      <c r="G21" s="1084"/>
      <c r="H21" s="1084"/>
      <c r="I21" s="1084"/>
      <c r="J21" s="1084"/>
      <c r="K21" s="1084"/>
      <c r="L21" s="1084"/>
      <c r="M21" s="1084"/>
      <c r="N21" s="1085"/>
      <c r="O21" s="1086">
        <v>20.76</v>
      </c>
      <c r="P21" s="1087"/>
      <c r="Q21" s="1088">
        <v>24.18</v>
      </c>
      <c r="R21" s="1088"/>
      <c r="S21" s="1088">
        <v>26.44</v>
      </c>
      <c r="T21" s="1089"/>
    </row>
    <row r="22" spans="2:23" x14ac:dyDescent="0.2">
      <c r="B22" s="21">
        <v>4</v>
      </c>
      <c r="C22" s="1083" t="s">
        <v>39</v>
      </c>
      <c r="D22" s="1084"/>
      <c r="E22" s="1084"/>
      <c r="F22" s="1084"/>
      <c r="G22" s="1084"/>
      <c r="H22" s="1084"/>
      <c r="I22" s="1084"/>
      <c r="J22" s="1084"/>
      <c r="K22" s="1084"/>
      <c r="L22" s="1084"/>
      <c r="M22" s="1084"/>
      <c r="N22" s="1085"/>
      <c r="O22" s="1086">
        <v>24</v>
      </c>
      <c r="P22" s="1087"/>
      <c r="Q22" s="1088">
        <v>25.84</v>
      </c>
      <c r="R22" s="1088"/>
      <c r="S22" s="1088">
        <v>27.86</v>
      </c>
      <c r="T22" s="1089"/>
    </row>
    <row r="23" spans="2:23" x14ac:dyDescent="0.2">
      <c r="B23" s="21">
        <v>5</v>
      </c>
      <c r="C23" s="1083" t="s">
        <v>40</v>
      </c>
      <c r="D23" s="1084"/>
      <c r="E23" s="1084"/>
      <c r="F23" s="1084"/>
      <c r="G23" s="1084"/>
      <c r="H23" s="1084"/>
      <c r="I23" s="1084"/>
      <c r="J23" s="1084"/>
      <c r="K23" s="1084"/>
      <c r="L23" s="1084"/>
      <c r="M23" s="1084"/>
      <c r="N23" s="1085"/>
      <c r="O23" s="1086">
        <v>22.8</v>
      </c>
      <c r="P23" s="1087"/>
      <c r="Q23" s="1088">
        <v>27.48</v>
      </c>
      <c r="R23" s="1088"/>
      <c r="S23" s="1088">
        <v>30.95</v>
      </c>
      <c r="T23" s="1089"/>
    </row>
    <row r="24" spans="2:23" ht="13.5" thickBot="1" x14ac:dyDescent="0.25">
      <c r="B24" s="22">
        <v>6</v>
      </c>
      <c r="C24" s="1101" t="s">
        <v>41</v>
      </c>
      <c r="D24" s="1102"/>
      <c r="E24" s="1102"/>
      <c r="F24" s="1102"/>
      <c r="G24" s="1102"/>
      <c r="H24" s="1102"/>
      <c r="I24" s="1102"/>
      <c r="J24" s="1102"/>
      <c r="K24" s="1102"/>
      <c r="L24" s="1102"/>
      <c r="M24" s="1102"/>
      <c r="N24" s="1103"/>
      <c r="O24" s="1104">
        <v>11.1</v>
      </c>
      <c r="P24" s="1105"/>
      <c r="Q24" s="1093">
        <v>14.02</v>
      </c>
      <c r="R24" s="1093"/>
      <c r="S24" s="1093">
        <v>16.8</v>
      </c>
      <c r="T24" s="1094"/>
    </row>
    <row r="25" spans="2:23" ht="13.5" thickBot="1" x14ac:dyDescent="0.25">
      <c r="B25" s="17"/>
      <c r="I25" s="17"/>
      <c r="J25" s="17"/>
      <c r="K25" s="17"/>
      <c r="L25" s="17"/>
      <c r="M25" s="17"/>
      <c r="N25" s="17"/>
      <c r="W25" s="23" t="s">
        <v>42</v>
      </c>
    </row>
    <row r="26" spans="2:23" ht="16.5" thickBot="1" x14ac:dyDescent="0.3">
      <c r="B26" s="18">
        <v>1</v>
      </c>
    </row>
    <row r="27" spans="2:23" ht="16.5" thickBot="1" x14ac:dyDescent="0.3">
      <c r="B27" s="19" t="s">
        <v>43</v>
      </c>
      <c r="C27" s="1090"/>
      <c r="D27" s="1091"/>
      <c r="E27" s="1091"/>
      <c r="F27" s="1091"/>
      <c r="G27" s="1091"/>
      <c r="H27" s="1091"/>
      <c r="I27" s="1092"/>
    </row>
    <row r="28" spans="2:23" x14ac:dyDescent="0.2">
      <c r="B28" s="21">
        <v>1</v>
      </c>
      <c r="C28" s="1095" t="s">
        <v>1</v>
      </c>
      <c r="D28" s="1096"/>
      <c r="E28" s="1096"/>
      <c r="F28" s="1096"/>
      <c r="G28" s="1096"/>
      <c r="H28" s="1096"/>
      <c r="I28" s="1097"/>
    </row>
    <row r="29" spans="2:23" ht="13.5" thickBot="1" x14ac:dyDescent="0.25">
      <c r="B29" s="21">
        <v>2</v>
      </c>
      <c r="C29" s="1098" t="s">
        <v>2</v>
      </c>
      <c r="D29" s="1099"/>
      <c r="E29" s="1099"/>
      <c r="F29" s="1099"/>
      <c r="G29" s="1099"/>
      <c r="H29" s="1099"/>
      <c r="I29" s="1100"/>
    </row>
    <row r="48" spans="3:14" x14ac:dyDescent="0.2"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3:14" x14ac:dyDescent="0.2"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3:14" x14ac:dyDescent="0.2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3:14" x14ac:dyDescent="0.2"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</sheetData>
  <mergeCells count="32">
    <mergeCell ref="C28:I28"/>
    <mergeCell ref="C29:I29"/>
    <mergeCell ref="C24:N24"/>
    <mergeCell ref="O24:P24"/>
    <mergeCell ref="Q24:R24"/>
    <mergeCell ref="C22:N22"/>
    <mergeCell ref="O22:P22"/>
    <mergeCell ref="Q22:R22"/>
    <mergeCell ref="S22:T22"/>
    <mergeCell ref="C27:I27"/>
    <mergeCell ref="S24:T24"/>
    <mergeCell ref="C23:N23"/>
    <mergeCell ref="O23:P23"/>
    <mergeCell ref="Q23:R23"/>
    <mergeCell ref="S23:T23"/>
    <mergeCell ref="C21:N21"/>
    <mergeCell ref="O21:P21"/>
    <mergeCell ref="Q21:R21"/>
    <mergeCell ref="S21:T21"/>
    <mergeCell ref="C20:N20"/>
    <mergeCell ref="O20:P20"/>
    <mergeCell ref="Q20:R20"/>
    <mergeCell ref="S20:T20"/>
    <mergeCell ref="C19:N19"/>
    <mergeCell ref="O19:P19"/>
    <mergeCell ref="Q19:R19"/>
    <mergeCell ref="S19:T19"/>
    <mergeCell ref="C4:H4"/>
    <mergeCell ref="I4:N4"/>
    <mergeCell ref="O4:T4"/>
    <mergeCell ref="C18:N18"/>
    <mergeCell ref="O18:T18"/>
  </mergeCells>
  <phoneticPr fontId="2" type="noConversion"/>
  <conditionalFormatting sqref="N5:N14 B24:N24 T5:T14 H5:H14">
    <cfRule type="expression" dxfId="5" priority="1" stopIfTrue="1">
      <formula>($B$1=6)</formula>
    </cfRule>
  </conditionalFormatting>
  <conditionalFormatting sqref="M5:M14 B23:N23 S5:S14 G5:G14">
    <cfRule type="expression" dxfId="4" priority="2" stopIfTrue="1">
      <formula>($B$1=5)</formula>
    </cfRule>
  </conditionalFormatting>
  <conditionalFormatting sqref="L5:L14 B22:N22 R5:R14 F5:F14">
    <cfRule type="expression" dxfId="3" priority="3" stopIfTrue="1">
      <formula>($B$1=4)</formula>
    </cfRule>
  </conditionalFormatting>
  <conditionalFormatting sqref="P15:T15 B21:N21 Q5:Q14 E5:E14 K5:K14 D15:H15 J15:N15 B29">
    <cfRule type="expression" dxfId="2" priority="4" stopIfTrue="1">
      <formula>($B$1=3)</formula>
    </cfRule>
  </conditionalFormatting>
  <conditionalFormatting sqref="J5:J14 B20:N20 P5:P14 D5:D14 B28">
    <cfRule type="expression" dxfId="1" priority="5" stopIfTrue="1">
      <formula>($B$1=2)</formula>
    </cfRule>
  </conditionalFormatting>
  <conditionalFormatting sqref="O5:O15 B19:N19 C18:N18 C5:C15 I5:I15">
    <cfRule type="expression" dxfId="0" priority="6" stopIfTrue="1">
      <formula>($B$1=1)</formula>
    </cfRule>
  </conditionalFormatting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ANEXO 01-ORÇAMENTO</vt:lpstr>
      <vt:lpstr>ANEXO 02-BDI</vt:lpstr>
      <vt:lpstr>ANEXO 03-CRONOGRAMA</vt:lpstr>
      <vt:lpstr>ANEXO 04- ENCARGOS SOCIAIS</vt:lpstr>
      <vt:lpstr>ANEXO 05- ITENS RELEVANTES</vt:lpstr>
      <vt:lpstr>Plan4</vt:lpstr>
      <vt:lpstr>'ANEXO 01-ORÇAMENTO'!Area_de_impressao</vt:lpstr>
      <vt:lpstr>'ANEXO 02-BDI'!Area_de_impressao</vt:lpstr>
      <vt:lpstr>'ANEXO 03-CRONOGRAMA'!Area_de_impressao</vt:lpstr>
      <vt:lpstr>'ANEXO 05- ITENS RELEVANTES'!Area_de_impressao</vt:lpstr>
      <vt:lpstr>'ANEXO 01-ORÇAMENTO'!Titulos_de_impressao</vt:lpstr>
      <vt:lpstr>'ANEXO 03-CRONOGRAMA'!Titulos_de_impressao</vt:lpstr>
    </vt:vector>
  </TitlesOfParts>
  <Company>Caixa Econômica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Speggiorin</dc:creator>
  <cp:lastModifiedBy>Educação - PMSJ</cp:lastModifiedBy>
  <cp:lastPrinted>2022-03-14T12:42:22Z</cp:lastPrinted>
  <dcterms:created xsi:type="dcterms:W3CDTF">2014-06-24T16:50:41Z</dcterms:created>
  <dcterms:modified xsi:type="dcterms:W3CDTF">2022-03-14T12:44:26Z</dcterms:modified>
</cp:coreProperties>
</file>